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7a6edcc75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quisition" sheetId="1" r:id="R3881d0fd95c14d70"/>
    <x:sheet xmlns:r="http://schemas.openxmlformats.org/officeDocument/2006/relationships" name="Refinance" sheetId="2" r:id="Rebefd4d28180424d"/>
    <x:sheet xmlns:r="http://schemas.openxmlformats.org/officeDocument/2006/relationships" name="Rent Roll" sheetId="3" r:id="R0d42197aaf084719"/>
    <x:sheet xmlns:r="http://schemas.openxmlformats.org/officeDocument/2006/relationships" name="Capital Budget" sheetId="4" r:id="R03f813ea855e47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;($#,##0);&quot;-&quot;"/>
    <x:numFmt numFmtId="201" formatCode="0"/>
    <x:numFmt numFmtId="202" formatCode="0.0%;(0.0%);&quot;-&quot;"/>
    <x:numFmt numFmtId="203" formatCode="0.00&quot;x&quot;"/>
    <x:numFmt numFmtId="204" formatCode="0.000000"/>
    <x:numFmt numFmtId="205" formatCode="@"/>
  </x:numFmts>
  <x:fonts count="10">
    <x:font>
      <x:sz val="11"/>
      <x:name val="Carlito"/>
    </x:font>
    <x:font>
      <x:sz val="10"/>
      <x:color rgb="FF172C40"/>
      <x:name val="Arial"/>
    </x:font>
    <x:font>
      <x:b/>
      <x:sz val="15"/>
      <x:color rgb="FF173148"/>
      <x:name val="Arial"/>
    </x:font>
    <x:font>
      <x:i/>
      <x:sz val="10"/>
      <x:color rgb="FF172C40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10"/>
      <x:color rgb="FF52616C"/>
      <x:name val="Arial"/>
    </x:font>
    <x:font>
      <x:b/>
      <x:sz val="10"/>
      <x:color rgb="FF172C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14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864A"/>
      </x:bottom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center"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3" fontId="4" fillId="2" borderId="0" xfId="0" applyNumberFormat="1" applyFont="1" applyFill="1" applyBorder="1" applyAlignment="1">
      <x:alignment horizontal="right" vertical="center"/>
    </x:xf>
    <x:xf numFmtId="200" fontId="7" fillId="0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7" fillId="0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7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3" fontId="7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7" fillId="0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horizontal="right" vertical="center"/>
    </x:xf>
    <x:xf numFmtId="205" fontId="5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6baceeb6d4a47" /><Relationship Type="http://schemas.openxmlformats.org/officeDocument/2006/relationships/theme" Target="/xl/theme/theme1.xml" Id="R32e958c0ceb647af" /><Relationship Type="http://schemas.openxmlformats.org/officeDocument/2006/relationships/sharedStrings" Target="/xl/sharedStrings.xml" Id="R73b1ee2260c340fa" /><Relationship Type="http://schemas.openxmlformats.org/officeDocument/2006/relationships/worksheet" Target="/xl/worksheets/sheet1.xml" Id="R3881d0fd95c14d70" /><Relationship Type="http://schemas.openxmlformats.org/officeDocument/2006/relationships/worksheet" Target="/xl/worksheets/sheet2.xml" Id="Rebefd4d28180424d" /><Relationship Type="http://schemas.openxmlformats.org/officeDocument/2006/relationships/worksheet" Target="/xl/worksheets/sheet3.xml" Id="R0d42197aaf084719" /><Relationship Type="http://schemas.openxmlformats.org/officeDocument/2006/relationships/worksheet" Target="/xl/worksheets/sheet4.xml" Id="R03f813ea855e47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148"/>
  </x:sheetPr>
  <x:sheetViews>
    <x:sheetView showGridLines="0" workbookViewId="0"/>
  </x:sheetViews>
  <x:sheetFormatPr defaultRowHeight="15"/>
  <x:cols>
    <x:col min="1" max="1" width="3" hidden="0" customWidth="1"/>
    <x:col min="2" max="2" width="59" hidden="0" customWidth="1"/>
    <x:col min="3" max="3" width="20" hidden="0" customWidth="1"/>
    <x:col min="4" max="4" width="3" hidden="0" customWidth="1"/>
    <x:col min="5" max="5" width="67" hidden="0" customWidth="1"/>
  </x:cols>
  <x:sheetData>
    <x:row r="2" ht="23" customHeight="1">
      <x:c r="B2" s="5" t="str">
        <x:v>10-30 unit multifamily acquisition</x:v>
      </x:c>
      <x:c r="C2" s="2"/>
      <x:c r="D2" s="2"/>
      <x:c r="E2" s="2"/>
      <x:c r="F2" s="2"/>
      <x:c r="G2" s="2"/>
    </x:row>
    <x:row r="3" ht="23" customHeight="1">
      <x:c r="B3" s="6"/>
      <x:c r="C3" s="6"/>
      <x:c r="D3" s="2"/>
      <x:c r="E3" s="2"/>
      <x:c r="F3" s="2"/>
      <x:c r="G3" s="2"/>
    </x:row>
    <x:row r="4" ht="23" customHeight="1">
      <x:c r="B4" s="7" t="str">
        <x:v>Hypothetical example. USD. Replace blue inputs with dated records.</x:v>
      </x:c>
      <x:c r="C4" s="2"/>
      <x:c r="D4" s="2"/>
      <x:c r="E4" s="2"/>
      <x:c r="F4" s="2"/>
      <x:c r="G4" s="2"/>
    </x:row>
    <x:row r="5" ht="23" customHeight="1">
      <x:c r="B5" s="2" t="str">
        <x:v>Acquisition case: 1 = base, 2 = downside</x:v>
      </x:c>
      <x:c r="C5" s="10" t="n">
        <x:v>1</x:v>
      </x:c>
      <x:c r="D5" s="2"/>
      <x:c r="E5" s="11" t="str">
        <x:f>IF(C5=1,"Base",IF(C5=2,"Downside","Choose 1 or 2"))</x:f>
        <x:v>Base</x:v>
      </x:c>
      <x:c r="F5" s="2"/>
      <x:c r="G5" s="2"/>
    </x:row>
    <x:row r="6" ht="23" customHeight="1">
      <x:c r="B6" s="2"/>
      <x:c r="C6" s="4"/>
      <x:c r="D6" s="2"/>
      <x:c r="E6" s="2"/>
      <x:c r="F6" s="2"/>
      <x:c r="G6" s="2"/>
    </x:row>
    <x:row r="7" ht="23" customHeight="1">
      <x:c r="B7" s="14" t="str">
        <x:v>Selected acquisition results</x:v>
      </x:c>
      <x:c r="C7" s="16" t="str">
        <x:v>Value</x:v>
      </x:c>
      <x:c r="D7" s="2"/>
      <x:c r="E7" s="2"/>
      <x:c r="F7" s="2"/>
      <x:c r="G7" s="2"/>
    </x:row>
    <x:row r="8" ht="23" customHeight="1">
      <x:c r="B8" s="2" t="str">
        <x:v>Annual cash after reserve and debt</x:v>
      </x:c>
      <x:c r="C8" s="19" t="n">
        <x:f>C60</x:f>
        <x:v>44074.551099146425</x:v>
      </x:c>
      <x:c r="D8" s="2"/>
      <x:c r="E8" s="2"/>
      <x:c r="F8" s="2"/>
      <x:c r="G8" s="2"/>
    </x:row>
    <x:row r="9" ht="23" customHeight="1">
      <x:c r="B9" s="2" t="str">
        <x:v>NCF / annual debt service</x:v>
      </x:c>
      <x:c r="C9" s="27" t="n">
        <x:f>C62</x:f>
        <x:v>1.2905587098291524</x:v>
      </x:c>
      <x:c r="D9" s="2"/>
      <x:c r="E9" s="2"/>
      <x:c r="F9" s="2"/>
      <x:c r="G9" s="2"/>
    </x:row>
    <x:row r="10" ht="23" customHeight="1">
      <x:c r="B10" s="2" t="str">
        <x:v>Buyer cash including capital and liquidity</x:v>
      </x:c>
      <x:c r="C10" s="19" t="n">
        <x:f>C56</x:f>
        <x:v>1262000</x:v>
      </x:c>
      <x:c r="D10" s="2"/>
      <x:c r="E10" s="2"/>
      <x:c r="F10" s="2"/>
      <x:c r="G10" s="2"/>
    </x:row>
    <x:row r="11" ht="23" customHeight="1">
      <x:c r="B11" s="2" t="str">
        <x:v>Lower modeled purchase-loan limit</x:v>
      </x:c>
      <x:c r="C11" s="19" t="n">
        <x:f>C61</x:f>
        <x:v>1959999.9999999998</x:v>
      </x:c>
      <x:c r="D11" s="2"/>
      <x:c r="E11" s="2"/>
      <x:c r="F11" s="2"/>
      <x:c r="G11" s="2"/>
    </x:row>
    <x:row r="12" ht="23" customHeight="1">
      <x:c r="B12" s="2" t="str">
        <x:v>Annual cash-on-cash return before tax</x:v>
      </x:c>
      <x:c r="C12" s="25" t="n">
        <x:f>C64</x:f>
        <x:v>0.03492436695653441</x:v>
      </x:c>
      <x:c r="D12" s="2"/>
      <x:c r="E12" s="2"/>
      <x:c r="F12" s="2"/>
      <x:c r="G12" s="2"/>
    </x:row>
    <x:row r="13" ht="23" customHeight="1">
      <x:c r="B13" s="2" t="str">
        <x:v>Scheduled balance due at maturity</x:v>
      </x:c>
      <x:c r="C13" s="19" t="n">
        <x:f>C65</x:f>
        <x:v>1788500.2072980462</x:v>
      </x:c>
      <x:c r="D13" s="2"/>
      <x:c r="E13" s="2"/>
      <x:c r="F13" s="2"/>
      <x:c r="G13" s="2"/>
    </x:row>
    <x:row r="14" ht="23" customHeight="1">
      <x:c r="B14" s="2" t="str">
        <x:v>Legal apartments included in model</x:v>
      </x:c>
      <x:c r="C14" s="22" t="n">
        <x:f>C42</x:f>
        <x:v>20</x:v>
      </x:c>
      <x:c r="D14" s="2"/>
      <x:c r="E14" s="2" t="str">
        <x:f>IF(OR(C42&lt;10,C42&gt;30),"Include 10 through 30 legal apartments",IF(OR(C19&gt;C18,C22&gt;C21),"Review purchase loan and maturity","Loan constraints are assumptions, not approval"))</x:f>
        <x:v>Loan constraints are assumptions, not approval</x:v>
      </x:c>
      <x:c r="F14" s="2"/>
      <x:c r="G14" s="2"/>
    </x:row>
    <x:row r="15" ht="23" customHeight="1">
      <x:c r="B15" s="2"/>
      <x:c r="C15" s="4"/>
      <x:c r="D15" s="2"/>
      <x:c r="E15" s="2"/>
      <x:c r="F15" s="2"/>
      <x:c r="G15" s="2"/>
    </x:row>
    <x:row r="16" ht="23" customHeight="1">
      <x:c r="B16" s="2"/>
      <x:c r="C16" s="4"/>
      <x:c r="D16" s="2"/>
      <x:c r="E16" s="2"/>
      <x:c r="F16" s="2"/>
      <x:c r="G16" s="2"/>
    </x:row>
    <x:row r="17" ht="23" customHeight="1">
      <x:c r="B17" s="14" t="str">
        <x:v>Acquisition controls</x:v>
      </x:c>
      <x:c r="C17" s="16" t="str">
        <x:v>Value</x:v>
      </x:c>
      <x:c r="D17" s="2"/>
      <x:c r="E17" s="2"/>
      <x:c r="F17" s="2"/>
      <x:c r="G17" s="2"/>
    </x:row>
    <x:row r="18" ht="23" customHeight="1">
      <x:c r="B18" s="2" t="str">
        <x:v>Purchase price</x:v>
      </x:c>
      <x:c r="C18" s="9" t="n">
        <x:v>2800000</x:v>
      </x:c>
      <x:c r="D18" s="2"/>
      <x:c r="E18" s="31" t="str">
        <x:v>Blue inputs are editable. Green figures link to source schedules.</x:v>
      </x:c>
      <x:c r="F18" s="2"/>
      <x:c r="G18" s="2"/>
    </x:row>
    <x:row r="19" ht="23" customHeight="1">
      <x:c r="B19" s="2" t="str">
        <x:v>Purchase-only loan</x:v>
      </x:c>
      <x:c r="C19" s="9" t="n">
        <x:v>1900000</x:v>
      </x:c>
      <x:c r="D19" s="2"/>
      <x:c r="E19" s="2"/>
      <x:c r="F19" s="2"/>
      <x:c r="G19" s="2"/>
    </x:row>
    <x:row r="20" ht="23" customHeight="1">
      <x:c r="B20" s="2" t="str">
        <x:v>Assumed fixed annual interest rate</x:v>
      </x:c>
      <x:c r="C20" s="17" t="n">
        <x:v>0.07</x:v>
      </x:c>
      <x:c r="D20" s="2"/>
      <x:c r="E20" s="31" t="str">
        <x:v>Case 2 changes rental loss and fixed costs; rents stay in place.</x:v>
      </x:c>
      <x:c r="F20" s="2"/>
      <x:c r="G20" s="2"/>
    </x:row>
    <x:row r="21" ht="23" customHeight="1">
      <x:c r="B21" s="2" t="str">
        <x:v>Amortization (years)</x:v>
      </x:c>
      <x:c r="C21" s="10" t="n">
        <x:v>30</x:v>
      </x:c>
      <x:c r="D21" s="2"/>
      <x:c r="E21" s="2"/>
      <x:c r="F21" s="2"/>
      <x:c r="G21" s="2"/>
    </x:row>
    <x:row r="22" ht="23" customHeight="1">
      <x:c r="B22" s="2" t="str">
        <x:v>Maturity (years)</x:v>
      </x:c>
      <x:c r="C22" s="10" t="n">
        <x:v>5</x:v>
      </x:c>
      <x:c r="D22" s="2"/>
      <x:c r="E22" s="31" t="str">
        <x:v>NOI excludes debt and the separately deducted annual reserve.</x:v>
      </x:c>
      <x:c r="F22" s="2"/>
      <x:c r="G22" s="2"/>
    </x:row>
    <x:row r="23" ht="23" customHeight="1">
      <x:c r="B23" s="2" t="str">
        <x:v>Annual other collected income</x:v>
      </x:c>
      <x:c r="C23" s="9" t="n">
        <x:v>6000</x:v>
      </x:c>
      <x:c r="D23" s="2"/>
      <x:c r="E23" s="2"/>
      <x:c r="F23" s="2"/>
      <x:c r="G23" s="2"/>
    </x:row>
    <x:row r="24" ht="23" customHeight="1">
      <x:c r="B24" s="2" t="str">
        <x:v>Base rental vacancy and loss</x:v>
      </x:c>
      <x:c r="C24" s="17" t="n">
        <x:v>0.07</x:v>
      </x:c>
      <x:c r="D24" s="2"/>
      <x:c r="E24" s="31" t="str">
        <x:v>Closing uses fund all capital work, contingency and operating cash.</x:v>
      </x:c>
      <x:c r="F24" s="2"/>
      <x:c r="G24" s="2"/>
    </x:row>
    <x:row r="25" ht="23" customHeight="1">
      <x:c r="B25" s="2" t="str">
        <x:v>Downside rental vacancy and loss</x:v>
      </x:c>
      <x:c r="C25" s="17" t="n">
        <x:v>0.15</x:v>
      </x:c>
      <x:c r="D25" s="2"/>
      <x:c r="E25" s="2"/>
      <x:c r="F25" s="2"/>
      <x:c r="G25" s="2"/>
    </x:row>
    <x:row r="26" ht="23" customHeight="1">
      <x:c r="B26" s="2" t="str">
        <x:v>Annual post-purchase property taxes</x:v>
      </x:c>
      <x:c r="C26" s="9" t="n">
        <x:v>36000</x:v>
      </x:c>
      <x:c r="D26" s="2"/>
      <x:c r="E26" s="31" t="str">
        <x:v>A purchase commitment is not a later construction-draw schedule.</x:v>
      </x:c>
      <x:c r="F26" s="2"/>
      <x:c r="G26" s="2"/>
    </x:row>
    <x:row r="27" ht="23" customHeight="1">
      <x:c r="B27" s="2" t="str">
        <x:v>Annual insurance</x:v>
      </x:c>
      <x:c r="C27" s="9" t="n">
        <x:v>16000</x:v>
      </x:c>
      <x:c r="D27" s="2"/>
      <x:c r="E27" s="2"/>
      <x:c r="F27" s="2"/>
      <x:c r="G27" s="2"/>
    </x:row>
    <x:row r="28" ht="23" customHeight="1">
      <x:c r="B28" s="2" t="str">
        <x:v>Annual owner-paid utilities</x:v>
      </x:c>
      <x:c r="C28" s="9" t="n">
        <x:v>12000</x:v>
      </x:c>
      <x:c r="D28" s="2"/>
      <x:c r="E28" s="31" t="str">
        <x:v>Refinance uses the scheduled maturity balance automatically.</x:v>
      </x:c>
      <x:c r="F28" s="2"/>
      <x:c r="G28" s="2"/>
    </x:row>
    <x:row r="29" ht="23" customHeight="1">
      <x:c r="B29" s="2" t="str">
        <x:v>Annual recurring repairs</x:v>
      </x:c>
      <x:c r="C29" s="9" t="n">
        <x:v>12000</x:v>
      </x:c>
      <x:c r="D29" s="2"/>
      <x:c r="E29" s="2"/>
      <x:c r="F29" s="2"/>
      <x:c r="G29" s="2"/>
    </x:row>
    <x:row r="30" ht="23" customHeight="1">
      <x:c r="B30" s="2" t="str">
        <x:v>Annual payroll and benefits</x:v>
      </x:c>
      <x:c r="C30" s="9" t="n">
        <x:v>18000</x:v>
      </x:c>
      <x:c r="D30" s="2"/>
      <x:c r="E30" s="2"/>
      <x:c r="F30" s="2"/>
      <x:c r="G30" s="2"/>
    </x:row>
    <x:row r="31" ht="23" customHeight="1">
      <x:c r="B31" s="2" t="str">
        <x:v>Annual other operating expenses</x:v>
      </x:c>
      <x:c r="C31" s="9" t="n">
        <x:v>8000</x:v>
      </x:c>
      <x:c r="D31" s="2"/>
      <x:c r="E31" s="2"/>
      <x:c r="F31" s="2"/>
      <x:c r="G31" s="2"/>
    </x:row>
    <x:row r="32" ht="23" customHeight="1">
      <x:c r="B32" s="2" t="str">
        <x:v>Management fee / effective gross income</x:v>
      </x:c>
      <x:c r="C32" s="17" t="n">
        <x:v>0.06</x:v>
      </x:c>
      <x:c r="D32" s="2"/>
      <x:c r="E32" s="2"/>
      <x:c r="F32" s="2"/>
      <x:c r="G32" s="2"/>
    </x:row>
    <x:row r="33" ht="23" customHeight="1">
      <x:c r="B33" s="2" t="str">
        <x:v>Annual replacement reserve below NOI</x:v>
      </x:c>
      <x:c r="C33" s="9" t="n">
        <x:v>10000</x:v>
      </x:c>
      <x:c r="D33" s="2"/>
      <x:c r="E33" s="2"/>
      <x:c r="F33" s="2"/>
      <x:c r="G33" s="2"/>
    </x:row>
    <x:row r="34" ht="23" customHeight="1">
      <x:c r="B34" s="2" t="str">
        <x:v>Closing and financing costs</x:v>
      </x:c>
      <x:c r="C34" s="9" t="n">
        <x:v>84000</x:v>
      </x:c>
      <x:c r="D34" s="2"/>
      <x:c r="E34" s="2"/>
      <x:c r="F34" s="2"/>
      <x:c r="G34" s="2"/>
    </x:row>
    <x:row r="35" ht="23" customHeight="1">
      <x:c r="B35" s="2" t="str">
        <x:v>Initial project cost from Capital Budget</x:v>
      </x:c>
      <x:c r="C35" s="20" t="n">
        <x:f>'Capital Budget'!F15</x:f>
        <x:v>180000</x:v>
      </x:c>
      <x:c r="D35" s="2"/>
      <x:c r="E35" s="2"/>
      <x:c r="F35" s="2"/>
      <x:c r="G35" s="2"/>
    </x:row>
    <x:row r="36" ht="23" customHeight="1">
      <x:c r="B36" s="2" t="str">
        <x:v>Contingency on initial capital budget</x:v>
      </x:c>
      <x:c r="C36" s="17" t="n">
        <x:v>0.1</x:v>
      </x:c>
      <x:c r="D36" s="2"/>
      <x:c r="E36" s="2"/>
      <x:c r="F36" s="2"/>
      <x:c r="G36" s="2"/>
    </x:row>
    <x:row r="37" ht="23" customHeight="1">
      <x:c r="B37" s="2" t="str">
        <x:v>Initial operating cash</x:v>
      </x:c>
      <x:c r="C37" s="9" t="n">
        <x:v>80000</x:v>
      </x:c>
      <x:c r="D37" s="2"/>
      <x:c r="E37" s="2"/>
      <x:c r="F37" s="2"/>
      <x:c r="G37" s="2"/>
    </x:row>
    <x:row r="38" ht="23" customHeight="1">
      <x:c r="B38" s="2" t="str">
        <x:v>Assumed minimum NCF coverage</x:v>
      </x:c>
      <x:c r="C38" s="18" t="n">
        <x:v>1.25</x:v>
      </x:c>
      <x:c r="D38" s="2"/>
      <x:c r="E38" s="2"/>
      <x:c r="F38" s="2"/>
      <x:c r="G38" s="2"/>
    </x:row>
    <x:row r="39" ht="23" customHeight="1">
      <x:c r="B39" s="2" t="str">
        <x:v>Assumed maximum purchase LTV</x:v>
      </x:c>
      <x:c r="C39" s="17" t="n">
        <x:v>0.7</x:v>
      </x:c>
      <x:c r="D39" s="2"/>
      <x:c r="E39" s="2"/>
      <x:c r="F39" s="2"/>
      <x:c r="G39" s="2"/>
    </x:row>
    <x:row r="40" ht="23" customHeight="1">
      <x:c r="B40" s="2" t="str">
        <x:v>Assumed minimum NOI debt yield</x:v>
      </x:c>
      <x:c r="C40" s="17" t="n">
        <x:v>0.085</x:v>
      </x:c>
      <x:c r="D40" s="2"/>
      <x:c r="E40" s="2"/>
      <x:c r="F40" s="2"/>
      <x:c r="G40" s="2"/>
    </x:row>
    <x:row r="41" ht="23" customHeight="1">
      <x:c r="B41" s="2" t="str">
        <x:v>Downside fixed-cost increase</x:v>
      </x:c>
      <x:c r="C41" s="17" t="n">
        <x:v>0.1</x:v>
      </x:c>
      <x:c r="D41" s="2"/>
      <x:c r="E41" s="2"/>
      <x:c r="F41" s="2"/>
      <x:c r="G41" s="2"/>
    </x:row>
    <x:row r="42" ht="23" customHeight="1">
      <x:c r="B42" s="2" t="str">
        <x:v>Included legal apartments</x:v>
      </x:c>
      <x:c r="C42" s="23" t="n">
        <x:f>COUNTIFS('Rent Roll'!C8:C37,1)</x:f>
        <x:v>20</x:v>
      </x:c>
      <x:c r="D42" s="2"/>
      <x:c r="E42" s="2"/>
      <x:c r="F42" s="2"/>
      <x:c r="G42" s="2"/>
    </x:row>
    <x:row r="43" ht="23" customHeight="1">
      <x:c r="B43" s="2" t="str">
        <x:v>Potential annual scheduled rent</x:v>
      </x:c>
      <x:c r="C43" s="20" t="n">
        <x:f>IF(AND(COUNT('Rent Roll'!G8:G37)=30,C42&gt;=10,C42&lt;=30),SUM('Rent Roll'!G8:G37)*12,NA())</x:f>
        <x:v>345600</x:v>
      </x:c>
      <x:c r="D43" s="2"/>
      <x:c r="E43" s="2"/>
      <x:c r="F43" s="2"/>
      <x:c r="G43" s="2"/>
    </x:row>
    <x:row r="44" ht="23" customHeight="1">
      <x:c r="B44" s="2" t="str">
        <x:v>Selected rental loss</x:v>
      </x:c>
      <x:c r="C44" s="25" t="n">
        <x:f>IF(C5=1,IF(ISNUMBER(C24),C24,NA()),IF(C5=2,IF(ISNUMBER(C25),C25,NA()),NA()))</x:f>
        <x:v>0.07</x:v>
      </x:c>
      <x:c r="D44" s="2"/>
      <x:c r="E44" s="2"/>
      <x:c r="F44" s="2"/>
      <x:c r="G44" s="2"/>
    </x:row>
    <x:row r="45" ht="23" customHeight="1">
      <x:c r="B45" s="2" t="str">
        <x:v>Selected fixed-expense multiplier</x:v>
      </x:c>
      <x:c r="C45" s="27" t="n">
        <x:f>IF(C5=1,1,IF(C5=2,IF(ISNUMBER(C41),1+C41,NA()),NA()))</x:f>
        <x:v>1</x:v>
      </x:c>
      <x:c r="D45" s="2"/>
      <x:c r="E45" s="2"/>
      <x:c r="F45" s="2"/>
      <x:c r="G45" s="2"/>
    </x:row>
    <x:row r="46" ht="23" customHeight="1">
      <x:c r="B46" s="14" t="str">
        <x:v>Operating and funding calculation</x:v>
      </x:c>
      <x:c r="C46" s="16" t="str">
        <x:v>Value</x:v>
      </x:c>
      <x:c r="D46" s="2"/>
      <x:c r="E46" s="2"/>
      <x:c r="F46" s="2"/>
      <x:c r="G46" s="2"/>
    </x:row>
    <x:row r="47" ht="23" customHeight="1">
      <x:c r="B47" s="2" t="str">
        <x:v>Effective gross income</x:v>
      </x:c>
      <x:c r="C47" s="19" t="n">
        <x:f>IF(COUNT(C43:C44,C23)=3,C43*(1-C44)+C23,NA())</x:f>
        <x:v>327408</x:v>
      </x:c>
      <x:c r="D47" s="2"/>
      <x:c r="E47" s="2"/>
      <x:c r="F47" s="2"/>
      <x:c r="G47" s="2"/>
    </x:row>
    <x:row r="48" ht="23" customHeight="1">
      <x:c r="B48" s="2" t="str">
        <x:v>Fixed costs including payroll</x:v>
      </x:c>
      <x:c r="C48" s="19" t="n">
        <x:f>IF(COUNT(C26:C31,C45)=7,SUM(C26:C31)*C45,NA())</x:f>
        <x:v>102000</x:v>
      </x:c>
      <x:c r="D48" s="2"/>
      <x:c r="E48" s="2"/>
      <x:c r="F48" s="2"/>
      <x:c r="G48" s="2"/>
    </x:row>
    <x:row r="49" ht="23" customHeight="1">
      <x:c r="B49" s="2" t="str">
        <x:v>Management expense</x:v>
      </x:c>
      <x:c r="C49" s="19" t="n">
        <x:f>IF(ISNUMBER(C32),C47*C32,NA())</x:f>
        <x:v>19644.48</x:v>
      </x:c>
      <x:c r="D49" s="2"/>
      <x:c r="E49" s="2"/>
      <x:c r="F49" s="2"/>
      <x:c r="G49" s="2"/>
    </x:row>
    <x:row r="50" ht="23" customHeight="1">
      <x:c r="B50" s="2" t="str">
        <x:v>NOI before replacement reserve</x:v>
      </x:c>
      <x:c r="C50" s="19" t="n">
        <x:f>C47-C48-C49</x:f>
        <x:v>205763.52</x:v>
      </x:c>
      <x:c r="D50" s="2"/>
      <x:c r="E50" s="2"/>
      <x:c r="F50" s="2"/>
      <x:c r="G50" s="2"/>
    </x:row>
    <x:row r="51" ht="23" customHeight="1">
      <x:c r="B51" s="2" t="str">
        <x:v>NCF after replacement reserve</x:v>
      </x:c>
      <x:c r="C51" s="19" t="n">
        <x:f>IF(ISNUMBER(C33),C50-C33,NA())</x:f>
        <x:v>195763.52</x:v>
      </x:c>
      <x:c r="D51" s="2"/>
      <x:c r="E51" s="2"/>
      <x:c r="F51" s="2"/>
      <x:c r="G51" s="2"/>
    </x:row>
    <x:row r="52" ht="23" customHeight="1">
      <x:c r="B52" s="2" t="str">
        <x:v>Monthly payment per dollar of principal</x:v>
      </x:c>
      <x:c r="C52" s="29" t="n">
        <x:f>IF(COUNT(C20:C21)=2,IF(C20=0,1/(C21*12),(C20/12)/(1-(1+C20/12)^(-C21*12))),NA())</x:f>
        <x:v>0.006653024951791824</x:v>
      </x:c>
      <x:c r="D52" s="2"/>
      <x:c r="E52" s="2"/>
      <x:c r="F52" s="2"/>
      <x:c r="G52" s="2"/>
    </x:row>
    <x:row r="53" ht="23" customHeight="1">
      <x:c r="B53" s="2" t="str">
        <x:v>Annual principal and interest</x:v>
      </x:c>
      <x:c r="C53" s="19" t="n">
        <x:f>IF(ISNUMBER(C19),C19*C52*12,NA())</x:f>
        <x:v>151688.96890085356</x:v>
      </x:c>
      <x:c r="D53" s="2"/>
      <x:c r="E53" s="2"/>
      <x:c r="F53" s="2"/>
      <x:c r="G53" s="2"/>
    </x:row>
    <x:row r="54" ht="23" customHeight="1">
      <x:c r="B54" s="2" t="str">
        <x:v>Initial capital contingency</x:v>
      </x:c>
      <x:c r="C54" s="19" t="n">
        <x:f>IF(COUNT(C35:C36)=2,C35*C36,NA())</x:f>
        <x:v>18000</x:v>
      </x:c>
      <x:c r="D54" s="2"/>
      <x:c r="E54" s="2"/>
      <x:c r="F54" s="2"/>
      <x:c r="G54" s="2"/>
    </x:row>
    <x:row r="55" ht="23" customHeight="1">
      <x:c r="B55" s="2" t="str">
        <x:v>Total acquisition uses</x:v>
      </x:c>
      <x:c r="C55" s="19" t="n">
        <x:f>IF(COUNT(C18,C34:C37)=5,SUM(C18,C34:C35,C54,C37),NA())</x:f>
        <x:v>3162000</x:v>
      </x:c>
      <x:c r="D55" s="2"/>
      <x:c r="E55" s="2"/>
      <x:c r="F55" s="2"/>
      <x:c r="G55" s="2"/>
    </x:row>
    <x:row r="56" ht="23" customHeight="1">
      <x:c r="B56" s="2" t="str">
        <x:v>Buyer cash including work and liquidity</x:v>
      </x:c>
      <x:c r="C56" s="19" t="n">
        <x:f>IF(ISNUMBER(C19),C55-C19,NA())</x:f>
        <x:v>1262000</x:v>
      </x:c>
      <x:c r="D56" s="2"/>
      <x:c r="E56" s="2"/>
      <x:c r="F56" s="2"/>
      <x:c r="G56" s="2"/>
    </x:row>
    <x:row r="57" ht="23" customHeight="1">
      <x:c r="B57" s="2" t="str">
        <x:v>Coverage-based loan limit</x:v>
      </x:c>
      <x:c r="C57" s="19" t="n">
        <x:f>IF(AND(ISNUMBER(C38),C38&gt;0),MAX(0,C51)/(C38*C52*12),NA())</x:f>
        <x:v>1961649.2389403116</x:v>
      </x:c>
      <x:c r="D57" s="2"/>
      <x:c r="E57" s="2"/>
      <x:c r="F57" s="2"/>
      <x:c r="G57" s="2"/>
    </x:row>
    <x:row r="58" ht="23" customHeight="1">
      <x:c r="B58" s="2" t="str">
        <x:v>Purchase LTV loan limit</x:v>
      </x:c>
      <x:c r="C58" s="19" t="n">
        <x:f>IF(COUNT(C18,C39)=2,C18*C39,NA())</x:f>
        <x:v>1959999.9999999998</x:v>
      </x:c>
      <x:c r="D58" s="2"/>
      <x:c r="E58" s="2"/>
      <x:c r="F58" s="2"/>
      <x:c r="G58" s="2"/>
    </x:row>
    <x:row r="59" ht="23" customHeight="1">
      <x:c r="B59" s="2" t="str">
        <x:v>NOI debt-yield loan limit</x:v>
      </x:c>
      <x:c r="C59" s="19" t="n">
        <x:f>IF(AND(ISNUMBER(C40),C40&gt;0),MAX(0,C50)/C40,NA())</x:f>
        <x:v>2420747.2941176468</x:v>
      </x:c>
      <x:c r="D59" s="2"/>
      <x:c r="E59" s="2"/>
      <x:c r="F59" s="2"/>
      <x:c r="G59" s="2"/>
    </x:row>
    <x:row r="60" ht="23" customHeight="1">
      <x:c r="B60" s="2" t="str">
        <x:v>Annual cash after reserve and debt</x:v>
      </x:c>
      <x:c r="C60" s="19" t="n">
        <x:f>C51-C53</x:f>
        <x:v>44074.551099146425</x:v>
      </x:c>
      <x:c r="D60" s="2"/>
      <x:c r="E60" s="2"/>
      <x:c r="F60" s="2"/>
      <x:c r="G60" s="2"/>
    </x:row>
    <x:row r="61" ht="23" customHeight="1">
      <x:c r="B61" s="2" t="str">
        <x:v>Lowest modeled loan constraint</x:v>
      </x:c>
      <x:c r="C61" s="19" t="n">
        <x:f>MIN(C57:C59)</x:f>
        <x:v>1959999.9999999998</x:v>
      </x:c>
      <x:c r="D61" s="2"/>
      <x:c r="E61" s="2"/>
      <x:c r="F61" s="2"/>
      <x:c r="G61" s="2"/>
    </x:row>
    <x:row r="62" ht="23" customHeight="1">
      <x:c r="B62" s="2" t="str">
        <x:v>NCF / annual principal and interest</x:v>
      </x:c>
      <x:c r="C62" s="27" t="n">
        <x:f>IF(C53=0,"n.a.",C51/C53)</x:f>
        <x:v>1.2905587098291524</x:v>
      </x:c>
      <x:c r="D62" s="2"/>
      <x:c r="E62" s="2"/>
      <x:c r="F62" s="2"/>
      <x:c r="G62" s="2"/>
    </x:row>
    <x:row r="63" ht="23" customHeight="1">
      <x:c r="B63" s="2" t="str">
        <x:v>NOI / requested purchase loan</x:v>
      </x:c>
      <x:c r="C63" s="25" t="n">
        <x:f>IF(C19=0,"n.a.",C50/C19)</x:f>
        <x:v>0.1082965894736842</x:v>
      </x:c>
      <x:c r="D63" s="2"/>
      <x:c r="E63" s="2"/>
      <x:c r="F63" s="2"/>
      <x:c r="G63" s="2"/>
    </x:row>
    <x:row r="64" ht="23" customHeight="1">
      <x:c r="B64" s="2" t="str">
        <x:v>Annual cash-on-cash before tax</x:v>
      </x:c>
      <x:c r="C64" s="25" t="n">
        <x:f>IF(C56&lt;=0,"n.a.",C60/C56)</x:f>
        <x:v>0.03492436695653441</x:v>
      </x:c>
      <x:c r="D64" s="2"/>
      <x:c r="E64" s="2"/>
      <x:c r="F64" s="2"/>
      <x:c r="G64" s="2"/>
    </x:row>
    <x:row r="65" ht="23" customHeight="1">
      <x:c r="B65" s="2" t="str">
        <x:v>Scheduled principal at maturity</x:v>
      </x:c>
      <x:c r="C65" s="19" t="n">
        <x:f>IF(COUNT(C19:C22)=4,IF(C22&gt;=C21,0,IF(C20=0,C19*(1-C22/C21),(C53/12)*(1-(1+C20/12)^(-(C21-C22)*12))/(C20/12))),NA())</x:f>
        <x:v>1788500.2072980462</x:v>
      </x:c>
      <x:c r="D65" s="2"/>
      <x:c r="E65" s="2"/>
      <x:c r="F65" s="2"/>
      <x:c r="G65" s="2"/>
    </x:row>
    <x:row r="66" ht="23" customHeight="1">
      <x:c r="B66" s="2"/>
      <x:c r="C66" s="4"/>
      <x:c r="D66" s="2"/>
      <x:c r="E66" s="2"/>
      <x:c r="F66" s="2"/>
      <x:c r="G66" s="2"/>
    </x:row>
    <x:row r="67" ht="23" customHeight="1">
      <x:c r="B67" s="2"/>
      <x:c r="C67" s="4"/>
      <x:c r="D67" s="2"/>
      <x:c r="E67" s="2"/>
      <x:c r="F67" s="2"/>
      <x:c r="G67" s="2"/>
    </x:row>
    <x:row r="68" ht="45" customHeight="1">
      <x:c r="B68" s="2"/>
      <x:c r="C68" s="4"/>
      <x:c r="D68" s="2"/>
      <x:c r="E68" s="32" t="str">
        <x:v>Example: Jaken Finance Group twenty-unit case, October 28, 2026. Replace with dated source records.</x:v>
      </x:c>
      <x:c r="F68" s="2"/>
      <x:c r="G68" s="2"/>
    </x:row>
    <x:row r="69" ht="23" customHeight="1">
      <x:c r="B69" s="2"/>
      <x:c r="C69" s="4"/>
      <x:c r="D69" s="2"/>
      <x:c r="E69" s="2"/>
      <x:c r="F69" s="2"/>
      <x:c r="G69" s="2"/>
    </x:row>
    <x:row r="70" ht="45" customHeight="1">
      <x:c r="B70" s="2"/>
      <x:c r="C70" s="4"/>
      <x:c r="D70" s="2"/>
      <x:c r="E70" s="32" t="str">
        <x:v>Guide: https://jakenfinancegroup.com/how-to-underwrite-10-30-unit-multifamily/</x:v>
      </x:c>
      <x:c r="F70" s="2"/>
      <x:c r="G70" s="2"/>
    </x:row>
    <x:row r="71" ht="23" customHeight="1">
      <x:c r="B71" s="2"/>
      <x:c r="C71" s="4"/>
      <x:c r="D71" s="2"/>
      <x:c r="E71" s="2"/>
      <x:c r="F71" s="2"/>
      <x:c r="G71" s="2"/>
    </x:row>
    <x:row r="72" ht="45" customHeight="1">
      <x:c r="B72" s="2"/>
      <x:c r="C72" s="4"/>
      <x:c r="D72" s="2"/>
      <x:c r="E72" s="32" t="str">
        <x:v>NCF reference: https://mfguide.fanniemae.com/node/3776</x:v>
      </x:c>
      <x:c r="F72" s="2"/>
      <x:c r="G72" s="2"/>
    </x:row>
  </x:sheetData>
  <x:conditionalFormatting sqref="C8:C8">
    <x:cfRule type="cellIs" dxfId="0" priority="1" operator="lessThan">
      <x:formula>0</x:formula>
    </x:cfRule>
  </x:conditionalFormatting>
  <x:dataValidations count="15">
    <x:dataValidation type="whole" operator="between" sqref="C5">
      <x:formula1>1</x:formula1>
      <x:formula2>2</x:formula2>
    </x:dataValidation>
    <x:dataValidation type="decimal" operator="between" sqref="C18:C19">
      <x:formula1>0</x:formula1>
      <x:formula2>100000000</x:formula2>
    </x:dataValidation>
    <x:dataValidation type="decimal" operator="between" sqref="C23">
      <x:formula1>0</x:formula1>
      <x:formula2>100000000</x:formula2>
    </x:dataValidation>
    <x:dataValidation type="decimal" operator="between" sqref="C26:C31">
      <x:formula1>0</x:formula1>
      <x:formula2>100000000</x:formula2>
    </x:dataValidation>
    <x:dataValidation type="decimal" operator="between" sqref="C33:C34">
      <x:formula1>0</x:formula1>
      <x:formula2>100000000</x:formula2>
    </x:dataValidation>
    <x:dataValidation type="decimal" operator="between" sqref="C37">
      <x:formula1>0</x:formula1>
      <x:formula2>100000000</x:formula2>
    </x:dataValidation>
    <x:dataValidation type="decimal" operator="between" sqref="C24:C25">
      <x:formula1>0</x:formula1>
      <x:formula2>1</x:formula2>
    </x:dataValidation>
    <x:dataValidation type="decimal" operator="between" sqref="C32">
      <x:formula1>0</x:formula1>
      <x:formula2>1</x:formula2>
    </x:dataValidation>
    <x:dataValidation type="decimal" operator="between" sqref="C36">
      <x:formula1>0</x:formula1>
      <x:formula2>1</x:formula2>
    </x:dataValidation>
    <x:dataValidation type="decimal" operator="between" sqref="C39">
      <x:formula1>0</x:formula1>
      <x:formula2>1</x:formula2>
    </x:dataValidation>
    <x:dataValidation type="decimal" operator="between" sqref="C41">
      <x:formula1>0</x:formula1>
      <x:formula2>1</x:formula2>
    </x:dataValidation>
    <x:dataValidation type="decimal" operator="between" sqref="C20">
      <x:formula1>0</x:formula1>
      <x:formula2>0.25</x:formula2>
    </x:dataValidation>
    <x:dataValidation type="whole" operator="between" sqref="C21:C22">
      <x:formula1>1</x:formula1>
      <x:formula2>40</x:formula2>
    </x:dataValidation>
    <x:dataValidation type="decimal" operator="between" sqref="C38">
      <x:formula1>0.1</x:formula1>
      <x:formula2>5</x:formula2>
    </x:dataValidation>
    <x:dataValidation type="decimal" operator="between" sqref="C40">
      <x:formula1>0.001</x:formula1>
      <x:formula2>0.5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148"/>
  </x:sheetPr>
  <x:sheetViews>
    <x:sheetView showGridLines="0" workbookViewId="0"/>
  </x:sheetViews>
  <x:sheetFormatPr defaultRowHeight="15"/>
  <x:cols>
    <x:col min="1" max="1" width="3" hidden="0" customWidth="1"/>
    <x:col min="2" max="2" width="59" hidden="0" customWidth="1"/>
    <x:col min="3" max="3" width="20" hidden="0" customWidth="1"/>
    <x:col min="4" max="4" width="3" hidden="0" customWidth="1"/>
    <x:col min="5" max="5" width="67" hidden="0" customWidth="1"/>
  </x:cols>
  <x:sheetData>
    <x:row r="2" ht="23" customHeight="1">
      <x:c r="B2" s="5" t="str">
        <x:v>Multifamily refinance and payoff gap</x:v>
      </x:c>
      <x:c r="C2" s="2"/>
      <x:c r="D2" s="2"/>
      <x:c r="E2" s="2"/>
      <x:c r="F2" s="2"/>
      <x:c r="G2" s="2"/>
    </x:row>
    <x:row r="3" ht="23" customHeight="1">
      <x:c r="B3" s="6"/>
      <x:c r="C3" s="6"/>
      <x:c r="D3" s="2"/>
      <x:c r="E3" s="2"/>
      <x:c r="F3" s="2"/>
      <x:c r="G3" s="2"/>
    </x:row>
    <x:row r="4" ht="23" customHeight="1">
      <x:c r="B4" s="7" t="str">
        <x:v>Hypothetical example. USD. Replace blue inputs with dated records.</x:v>
      </x:c>
      <x:c r="C4" s="2"/>
      <x:c r="D4" s="2"/>
      <x:c r="E4" s="2"/>
      <x:c r="F4" s="2"/>
      <x:c r="G4" s="2"/>
    </x:row>
    <x:row r="5" ht="23" customHeight="1">
      <x:c r="B5" s="2" t="str">
        <x:v>Acquisition budget case (exit inputs remain separate)</x:v>
      </x:c>
      <x:c r="C5" s="40" t="str">
        <x:f>'Acquisition'!E5</x:f>
        <x:v>Base</x:v>
      </x:c>
      <x:c r="D5" s="2"/>
      <x:c r="E5" s="2"/>
      <x:c r="F5" s="2"/>
      <x:c r="G5" s="2"/>
    </x:row>
    <x:row r="6" ht="23" customHeight="1">
      <x:c r="B6" s="2"/>
      <x:c r="C6" s="4"/>
      <x:c r="D6" s="2"/>
      <x:c r="E6" s="2"/>
      <x:c r="F6" s="2"/>
      <x:c r="G6" s="2"/>
    </x:row>
    <x:row r="7" ht="23" customHeight="1">
      <x:c r="B7" s="14" t="str">
        <x:v>Replacement financing results</x:v>
      </x:c>
      <x:c r="C7" s="16" t="str">
        <x:v>Value</x:v>
      </x:c>
      <x:c r="D7" s="2"/>
      <x:c r="E7" s="2"/>
      <x:c r="F7" s="2"/>
      <x:c r="G7" s="2"/>
    </x:row>
    <x:row r="8" ht="23" customHeight="1">
      <x:c r="B8" s="2" t="str">
        <x:v>Lower modeled replacement loan</x:v>
      </x:c>
      <x:c r="C8" s="19" t="n">
        <x:f>C38</x:f>
        <x:v>1769054.0586122982</x:v>
      </x:c>
      <x:c r="D8" s="2"/>
      <x:c r="E8" s="2"/>
      <x:c r="F8" s="2"/>
      <x:c r="G8" s="2"/>
    </x:row>
    <x:row r="9" ht="23" customHeight="1">
      <x:c r="B9" s="2" t="str">
        <x:v>Additional cash required at refinance</x:v>
      </x:c>
      <x:c r="C9" s="19" t="n">
        <x:f>C43</x:f>
        <x:v>79446.14868574799</x:v>
      </x:c>
      <x:c r="D9" s="2"/>
      <x:c r="E9" s="2"/>
      <x:c r="F9" s="2"/>
      <x:c r="G9" s="2"/>
    </x:row>
    <x:row r="10" ht="23" customHeight="1">
      <x:c r="B10" s="2" t="str">
        <x:v>Potential surplus after payoff</x:v>
      </x:c>
      <x:c r="C10" s="19" t="n">
        <x:f>C44</x:f>
        <x:v>0</x:v>
      </x:c>
      <x:c r="D10" s="2"/>
      <x:c r="E10" s="2"/>
      <x:c r="F10" s="2"/>
      <x:c r="G10" s="2"/>
    </x:row>
    <x:row r="11" ht="23" customHeight="1">
      <x:c r="B11" s="2" t="str">
        <x:v>Assumed exit property value</x:v>
      </x:c>
      <x:c r="C11" s="19" t="n">
        <x:f>C32</x:f>
        <x:v>3214285.714285714</x:v>
      </x:c>
      <x:c r="D11" s="2"/>
      <x:c r="E11" s="2"/>
      <x:c r="F11" s="2"/>
      <x:c r="G11" s="2"/>
    </x:row>
    <x:row r="12" ht="23" customHeight="1">
      <x:c r="B12" s="2" t="str">
        <x:v>NCF / all annual debt</x:v>
      </x:c>
      <x:c r="C12" s="27" t="n">
        <x:f>C45</x:f>
        <x:v>1.3</x:v>
      </x:c>
      <x:c r="D12" s="2"/>
      <x:c r="E12" s="2"/>
      <x:c r="F12" s="2"/>
      <x:c r="G12" s="2"/>
    </x:row>
    <x:row r="13" ht="23" customHeight="1">
      <x:c r="B13" s="2" t="str">
        <x:v>Proceeds after costs, before payoff</x:v>
      </x:c>
      <x:c r="C13" s="19" t="n">
        <x:f>C41</x:f>
        <x:v>1709054.0586122982</x:v>
      </x:c>
      <x:c r="D13" s="2"/>
      <x:c r="E13" s="2"/>
      <x:c r="F13" s="2"/>
      <x:c r="G13" s="2"/>
    </x:row>
    <x:row r="14" ht="23" customHeight="1">
      <x:c r="B14" s="2" t="str">
        <x:v>Scheduled acquisition maturity balance</x:v>
      </x:c>
      <x:c r="C14" s="19" t="n">
        <x:f>C27</x:f>
        <x:v>1788500.2072980462</x:v>
      </x:c>
      <x:c r="D14" s="2"/>
      <x:c r="E14" s="2"/>
      <x:c r="F14" s="2"/>
      <x:c r="G14" s="2"/>
    </x:row>
    <x:row r="15" ht="23" customHeight="1">
      <x:c r="B15" s="2"/>
      <x:c r="C15" s="4"/>
      <x:c r="D15" s="2"/>
      <x:c r="E15" s="2"/>
      <x:c r="F15" s="2"/>
      <x:c r="G15" s="2"/>
    </x:row>
    <x:row r="16" ht="23" customHeight="1">
      <x:c r="B16" s="2"/>
      <x:c r="C16" s="4"/>
      <x:c r="D16" s="2"/>
      <x:c r="E16" s="2"/>
      <x:c r="F16" s="2"/>
      <x:c r="G16" s="2"/>
    </x:row>
    <x:row r="17" ht="23" customHeight="1">
      <x:c r="B17" s="14" t="str">
        <x:v>Supported exit assumptions</x:v>
      </x:c>
      <x:c r="C17" s="16" t="str">
        <x:v>Value</x:v>
      </x:c>
      <x:c r="D17" s="2"/>
      <x:c r="E17" s="2"/>
      <x:c r="F17" s="2"/>
      <x:c r="G17" s="2"/>
    </x:row>
    <x:row r="18" ht="23" customHeight="1">
      <x:c r="B18" s="2" t="str">
        <x:v>Accepted exit NOI before reserve</x:v>
      </x:c>
      <x:c r="C18" s="9" t="n">
        <x:v>225000</x:v>
      </x:c>
      <x:c r="D18" s="2"/>
      <x:c r="E18" s="31" t="str">
        <x:v>Exit NOI and financing assumptions do not follow the purchase case.</x:v>
      </x:c>
      <x:c r="F18" s="2"/>
      <x:c r="G18" s="2"/>
    </x:row>
    <x:row r="19" ht="23" customHeight="1">
      <x:c r="B19" s="2" t="str">
        <x:v>Annual reserve below NOI</x:v>
      </x:c>
      <x:c r="C19" s="9" t="n">
        <x:v>12000</x:v>
      </x:c>
      <x:c r="D19" s="2"/>
      <x:c r="E19" s="2"/>
      <x:c r="F19" s="2"/>
      <x:c r="G19" s="2"/>
    </x:row>
    <x:row r="20" ht="23" customHeight="1">
      <x:c r="B20" s="2" t="str">
        <x:v>Assumed valuation cap rate</x:v>
      </x:c>
      <x:c r="C20" s="17" t="n">
        <x:v>0.07</x:v>
      </x:c>
      <x:c r="D20" s="2"/>
      <x:c r="E20" s="31" t="str">
        <x:v>The payoff links to the scheduled acquisition-loan balance.</x:v>
      </x:c>
      <x:c r="F20" s="2"/>
      <x:c r="G20" s="2"/>
    </x:row>
    <x:row r="21" ht="23" customHeight="1">
      <x:c r="B21" s="2" t="str">
        <x:v>Maximum refinance LTV</x:v>
      </x:c>
      <x:c r="C21" s="17" t="n">
        <x:v>0.7</x:v>
      </x:c>
      <x:c r="D21" s="2"/>
      <x:c r="E21" s="2"/>
      <x:c r="F21" s="2"/>
      <x:c r="G21" s="2"/>
    </x:row>
    <x:row r="22" ht="23" customHeight="1">
      <x:c r="B22" s="2" t="str">
        <x:v>Minimum total-debt coverage</x:v>
      </x:c>
      <x:c r="C22" s="18" t="n">
        <x:v>1.3</x:v>
      </x:c>
      <x:c r="D22" s="2"/>
      <x:c r="E22" s="31" t="str">
        <x:v>Include actual payoff charges in costs; reconcile to a dated quote.</x:v>
      </x:c>
      <x:c r="F22" s="2"/>
      <x:c r="G22" s="2"/>
    </x:row>
    <x:row r="23" ht="23" customHeight="1">
      <x:c r="B23" s="2" t="str">
        <x:v>Minimum NOI / new senior loan</x:v>
      </x:c>
      <x:c r="C23" s="17" t="n">
        <x:v>0.09</x:v>
      </x:c>
      <x:c r="D23" s="2"/>
      <x:c r="E23" s="2"/>
      <x:c r="F23" s="2"/>
      <x:c r="G23" s="2"/>
    </x:row>
    <x:row r="24" ht="23" customHeight="1">
      <x:c r="B24" s="2" t="str">
        <x:v>Assumed replacement fixed interest rate</x:v>
      </x:c>
      <x:c r="C24" s="17" t="n">
        <x:v>0.08</x:v>
      </x:c>
      <x:c r="D24" s="2"/>
      <x:c r="E24" s="31" t="str">
        <x:v>Other continuing debt reduces the payment available for the new loan.</x:v>
      </x:c>
      <x:c r="F24" s="2"/>
      <x:c r="G24" s="2"/>
    </x:row>
    <x:row r="25" ht="23" customHeight="1">
      <x:c r="B25" s="2" t="str">
        <x:v>Replacement amortization (years)</x:v>
      </x:c>
      <x:c r="C25" s="10" t="n">
        <x:v>25</x:v>
      </x:c>
      <x:c r="D25" s="2"/>
      <x:c r="E25" s="2"/>
      <x:c r="F25" s="2"/>
      <x:c r="G25" s="2"/>
    </x:row>
    <x:row r="26" ht="23" customHeight="1">
      <x:c r="B26" s="2" t="str">
        <x:v>Other continuing annual debt payments</x:v>
      </x:c>
      <x:c r="C26" s="9" t="n">
        <x:v>0</x:v>
      </x:c>
      <x:c r="D26" s="2"/>
      <x:c r="E26" s="31" t="str">
        <x:v>Debt yield tests new senior principal, not other continuing debt.</x:v>
      </x:c>
      <x:c r="F26" s="2"/>
      <x:c r="G26" s="2"/>
    </x:row>
    <x:row r="27" ht="23" customHeight="1">
      <x:c r="B27" s="2" t="str">
        <x:v>Scheduled acquisition-loan balance at maturity</x:v>
      </x:c>
      <x:c r="C27" s="20" t="n">
        <x:f>'Acquisition'!C65</x:f>
        <x:v>1788500.2072980462</x:v>
      </x:c>
      <x:c r="D27" s="2"/>
      <x:c r="E27" s="2"/>
      <x:c r="F27" s="2"/>
      <x:c r="G27" s="2"/>
    </x:row>
    <x:row r="28" ht="23" customHeight="1">
      <x:c r="B28" s="2" t="str">
        <x:v>Refinance costs, reserves and payoff charges</x:v>
      </x:c>
      <x:c r="C28" s="9" t="n">
        <x:v>60000</x:v>
      </x:c>
      <x:c r="D28" s="2"/>
      <x:c r="E28" s="31" t="str">
        <x:v>A positive surplus is not approval for cash-out.</x:v>
      </x:c>
      <x:c r="F28" s="2"/>
      <x:c r="G28" s="2"/>
    </x:row>
    <x:row r="29" ht="23" customHeight="1">
      <x:c r="B29" s="2"/>
      <x:c r="C29" s="4"/>
      <x:c r="D29" s="2"/>
      <x:c r="E29" s="2"/>
      <x:c r="F29" s="2"/>
      <x:c r="G29" s="2"/>
    </x:row>
    <x:row r="30" ht="23" customHeight="1">
      <x:c r="B30" s="14" t="str">
        <x:v>Value, debt capacity and cash reconciliation</x:v>
      </x:c>
      <x:c r="C30" s="16" t="str">
        <x:v>Value</x:v>
      </x:c>
      <x:c r="D30" s="2"/>
      <x:c r="E30" s="2"/>
      <x:c r="F30" s="2"/>
      <x:c r="G30" s="2"/>
    </x:row>
    <x:row r="31" ht="23" customHeight="1">
      <x:c r="B31" s="2" t="str">
        <x:v>Accepted net cash flow</x:v>
      </x:c>
      <x:c r="C31" s="19" t="n">
        <x:f>IF(COUNT(C18:C19)=2,C18-C19,NA())</x:f>
        <x:v>213000</x:v>
      </x:c>
      <x:c r="D31" s="2"/>
      <x:c r="E31" s="2"/>
      <x:c r="F31" s="2"/>
      <x:c r="G31" s="2"/>
    </x:row>
    <x:row r="32" ht="23" customHeight="1">
      <x:c r="B32" s="2" t="str">
        <x:v>Assumed property value</x:v>
      </x:c>
      <x:c r="C32" s="19" t="n">
        <x:f>IF(AND(COUNT(C18,C20)=2,C20&gt;0),C18/C20,NA())</x:f>
        <x:v>3214285.714285714</x:v>
      </x:c>
      <x:c r="D32" s="2"/>
      <x:c r="E32" s="2"/>
      <x:c r="F32" s="2"/>
      <x:c r="G32" s="2"/>
    </x:row>
    <x:row r="33" ht="23" customHeight="1">
      <x:c r="B33" s="2" t="str">
        <x:v>Annual payment per new-loan dollar</x:v>
      </x:c>
      <x:c r="C33" s="29" t="n">
        <x:f>IF(COUNT(C24:C25)=2,IF(C24=0,1/C25,(C24/12)/(1-(1+C24/12)^(-C25*12))*12),NA())</x:f>
        <x:v>0.09261794632476067</x:v>
      </x:c>
      <x:c r="D33" s="2"/>
      <x:c r="E33" s="2"/>
      <x:c r="F33" s="2"/>
      <x:c r="G33" s="2"/>
    </x:row>
    <x:row r="34" ht="23" customHeight="1">
      <x:c r="B34" s="2" t="str">
        <x:v>Annual senior payment supported by coverage</x:v>
      </x:c>
      <x:c r="C34" s="19" t="n">
        <x:f>IF(AND(COUNT(C22,C26)=2,C22&gt;0),MAX(0,C31/C22-C26),NA())</x:f>
        <x:v>163846.15384615384</x:v>
      </x:c>
      <x:c r="D34" s="2"/>
      <x:c r="E34" s="2"/>
      <x:c r="F34" s="2"/>
      <x:c r="G34" s="2"/>
    </x:row>
    <x:row r="35" ht="23" customHeight="1">
      <x:c r="B35" s="2" t="str">
        <x:v>Coverage-based loan limit</x:v>
      </x:c>
      <x:c r="C35" s="19" t="n">
        <x:f>C34/C33</x:f>
        <x:v>1769054.0586122982</x:v>
      </x:c>
      <x:c r="D35" s="2"/>
      <x:c r="E35" s="2"/>
      <x:c r="F35" s="2"/>
      <x:c r="G35" s="2"/>
    </x:row>
    <x:row r="36" ht="23" customHeight="1">
      <x:c r="B36" s="2" t="str">
        <x:v>Value-based loan limit</x:v>
      </x:c>
      <x:c r="C36" s="19" t="n">
        <x:f>IF(ISNUMBER(C21),C32*C21,NA())</x:f>
        <x:v>2249999.9999999995</x:v>
      </x:c>
      <x:c r="D36" s="2"/>
      <x:c r="E36" s="2"/>
      <x:c r="F36" s="2"/>
      <x:c r="G36" s="2"/>
    </x:row>
    <x:row r="37" ht="23" customHeight="1">
      <x:c r="B37" s="2" t="str">
        <x:v>NOI debt-yield loan limit</x:v>
      </x:c>
      <x:c r="C37" s="19" t="n">
        <x:f>IF(AND(COUNT(C18,C23)=2,C23&gt;0),C18/C23,NA())</x:f>
        <x:v>2500000</x:v>
      </x:c>
      <x:c r="D37" s="2"/>
      <x:c r="E37" s="2"/>
      <x:c r="F37" s="2"/>
      <x:c r="G37" s="2"/>
    </x:row>
    <x:row r="38" ht="23" customHeight="1">
      <x:c r="B38" s="2" t="str">
        <x:v>Lowest modeled replacement loan</x:v>
      </x:c>
      <x:c r="C38" s="19" t="n">
        <x:f>MIN(C35:C37)</x:f>
        <x:v>1769054.0586122982</x:v>
      </x:c>
      <x:c r="D38" s="2"/>
      <x:c r="E38" s="2"/>
      <x:c r="F38" s="2"/>
      <x:c r="G38" s="2"/>
    </x:row>
    <x:row r="39" ht="23" customHeight="1">
      <x:c r="B39" s="2" t="str">
        <x:v>Annual new senior principal and interest</x:v>
      </x:c>
      <x:c r="C39" s="19" t="n">
        <x:f>C38*C33</x:f>
        <x:v>163846.15384615384</x:v>
      </x:c>
      <x:c r="D39" s="2"/>
      <x:c r="E39" s="2"/>
      <x:c r="F39" s="2"/>
      <x:c r="G39" s="2"/>
    </x:row>
    <x:row r="40" ht="23" customHeight="1">
      <x:c r="B40" s="2" t="str">
        <x:v>All continuing and new annual debt</x:v>
      </x:c>
      <x:c r="C40" s="19" t="n">
        <x:f>C39+C26</x:f>
        <x:v>163846.15384615384</x:v>
      </x:c>
      <x:c r="D40" s="2"/>
      <x:c r="E40" s="2"/>
      <x:c r="F40" s="2"/>
      <x:c r="G40" s="2"/>
    </x:row>
    <x:row r="41" ht="23" customHeight="1">
      <x:c r="B41" s="2" t="str">
        <x:v>Proceeds after costs, before payoff</x:v>
      </x:c>
      <x:c r="C41" s="19" t="n">
        <x:f>IF(ISNUMBER(C28),C38-C28,NA())</x:f>
        <x:v>1709054.0586122982</x:v>
      </x:c>
      <x:c r="D41" s="2"/>
      <x:c r="E41" s="2"/>
      <x:c r="F41" s="2"/>
      <x:c r="G41" s="2"/>
    </x:row>
    <x:row r="42" ht="23" customHeight="1">
      <x:c r="B42" s="2" t="str">
        <x:v>Signed cash after costs and payoff</x:v>
      </x:c>
      <x:c r="C42" s="19" t="n">
        <x:f>C41-C27</x:f>
        <x:v>-79446.14868574799</x:v>
      </x:c>
      <x:c r="D42" s="2"/>
      <x:c r="E42" s="2"/>
      <x:c r="F42" s="2"/>
      <x:c r="G42" s="2"/>
    </x:row>
    <x:row r="43" ht="23" customHeight="1">
      <x:c r="B43" s="2" t="str">
        <x:v>Additional cash needed</x:v>
      </x:c>
      <x:c r="C43" s="19" t="n">
        <x:f>MAX(0,-C42)</x:f>
        <x:v>79446.14868574799</x:v>
      </x:c>
      <x:c r="D43" s="2"/>
      <x:c r="E43" s="2"/>
      <x:c r="F43" s="2"/>
      <x:c r="G43" s="2"/>
    </x:row>
    <x:row r="44" ht="23" customHeight="1">
      <x:c r="B44" s="2" t="str">
        <x:v>Potential surplus after payoff</x:v>
      </x:c>
      <x:c r="C44" s="19" t="n">
        <x:f>MAX(0,C42)</x:f>
        <x:v>0</x:v>
      </x:c>
      <x:c r="D44" s="2"/>
      <x:c r="E44" s="2"/>
      <x:c r="F44" s="2"/>
      <x:c r="G44" s="2"/>
    </x:row>
    <x:row r="45" ht="23" customHeight="1">
      <x:c r="B45" s="2" t="str">
        <x:v>NCF / all annual debt</x:v>
      </x:c>
      <x:c r="C45" s="27" t="n">
        <x:f>IF(C40=0,"n.a.",C31/C40)</x:f>
        <x:v>1.3</x:v>
      </x:c>
      <x:c r="D45" s="2"/>
      <x:c r="E45" s="2"/>
      <x:c r="F45" s="2"/>
      <x:c r="G45" s="2"/>
    </x:row>
    <x:row r="46" ht="23" customHeight="1">
      <x:c r="B46" s="2"/>
      <x:c r="C46" s="4"/>
      <x:c r="D46" s="2"/>
      <x:c r="E46" s="2"/>
      <x:c r="F46" s="2"/>
      <x:c r="G46" s="2"/>
    </x:row>
    <x:row r="47" ht="23" customHeight="1">
      <x:c r="B47" s="2"/>
      <x:c r="C47" s="4"/>
      <x:c r="D47" s="2"/>
      <x:c r="E47" s="2"/>
      <x:c r="F47" s="2"/>
      <x:c r="G47" s="2"/>
    </x:row>
    <x:row r="48" ht="45" customHeight="1">
      <x:c r="B48" s="2"/>
      <x:c r="C48" s="4"/>
      <x:c r="D48" s="2"/>
      <x:c r="E48" s="32" t="str">
        <x:v>Reference: OCC Commercial Lending: Refinance Risk, October 3, 2024. https://occ.treas.gov/news-issuances/bulletins/2024/bulletin-2024-29.html</x:v>
      </x:c>
      <x:c r="F48" s="2"/>
      <x:c r="G48" s="2"/>
    </x:row>
    <x:row r="49" ht="23" customHeight="1">
      <x:c r="B49" s="2"/>
      <x:c r="C49" s="4"/>
      <x:c r="D49" s="2"/>
      <x:c r="E49" s="2"/>
      <x:c r="F49" s="2"/>
      <x:c r="G49" s="2"/>
    </x:row>
    <x:row r="50" ht="45" customHeight="1">
      <x:c r="B50" s="2"/>
      <x:c r="C50" s="4"/>
      <x:c r="D50" s="2"/>
      <x:c r="E50" s="32" t="str">
        <x:v>Program context: https://multifamily.fanniemae.com/financing-options/conventional-properties-term-sheet</x:v>
      </x:c>
      <x:c r="F50" s="2"/>
      <x:c r="G50" s="2"/>
    </x:row>
    <x:row r="51" ht="23" customHeight="1">
      <x:c r="B51" s="2"/>
      <x:c r="C51" s="4"/>
      <x:c r="D51" s="2"/>
      <x:c r="E51" s="2"/>
      <x:c r="F51" s="2"/>
      <x:c r="G51" s="2"/>
    </x:row>
    <x:row r="52" ht="23" customHeight="1">
      <x:c r="B52" s="2"/>
      <x:c r="C52" s="4"/>
      <x:c r="D52" s="2"/>
      <x:c r="E52" s="2"/>
      <x:c r="F52" s="2"/>
      <x:c r="G52" s="2"/>
    </x:row>
  </x:sheetData>
  <x:dataValidations count="9">
    <x:dataValidation type="decimal" operator="between" sqref="C18:C19">
      <x:formula1>0</x:formula1>
      <x:formula2>100000000</x:formula2>
    </x:dataValidation>
    <x:dataValidation type="decimal" operator="between" sqref="C26">
      <x:formula1>0</x:formula1>
      <x:formula2>100000000</x:formula2>
    </x:dataValidation>
    <x:dataValidation type="decimal" operator="between" sqref="C28">
      <x:formula1>0</x:formula1>
      <x:formula2>100000000</x:formula2>
    </x:dataValidation>
    <x:dataValidation type="decimal" operator="between" sqref="C20">
      <x:formula1>0.001</x:formula1>
      <x:formula2>0.3</x:formula2>
    </x:dataValidation>
    <x:dataValidation type="decimal" operator="between" sqref="C21">
      <x:formula1>0</x:formula1>
      <x:formula2>1</x:formula2>
    </x:dataValidation>
    <x:dataValidation type="decimal" operator="between" sqref="C22">
      <x:formula1>0.1</x:formula1>
      <x:formula2>5</x:formula2>
    </x:dataValidation>
    <x:dataValidation type="decimal" operator="between" sqref="C23">
      <x:formula1>0.001</x:formula1>
      <x:formula2>0.5</x:formula2>
    </x:dataValidation>
    <x:dataValidation type="decimal" operator="between" sqref="C24">
      <x:formula1>0</x:formula1>
      <x:formula2>0.25</x:formula2>
    </x:dataValidation>
    <x:dataValidation type="whole" operator="between" sqref="C25">
      <x:formula1>1</x:formula1>
      <x:formula2>40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12" hidden="0" customWidth="1"/>
    <x:col min="3" max="3" width="14" hidden="0" customWidth="1"/>
    <x:col min="4" max="4" width="12" hidden="0" customWidth="1"/>
    <x:col min="5" max="5" width="38" hidden="0" customWidth="1"/>
    <x:col min="6" max="6" width="22" hidden="0" customWidth="1"/>
    <x:col min="7" max="7" width="22" hidden="0" customWidth="1"/>
  </x:cols>
  <x:sheetData>
    <x:row r="2" ht="23" customHeight="1">
      <x:c r="B2" s="5" t="str">
        <x:v>Individual apartment rent roll</x:v>
      </x:c>
      <x:c r="C2" s="2"/>
      <x:c r="D2" s="2"/>
      <x:c r="E2" s="2"/>
      <x:c r="F2" s="2"/>
      <x:c r="G2" s="2"/>
    </x:row>
    <x:row r="3" ht="23" customHeight="1">
      <x:c r="B3" s="2"/>
      <x:c r="C3" s="2"/>
      <x:c r="D3" s="2"/>
      <x:c r="E3" s="2"/>
      <x:c r="F3" s="2"/>
      <x:c r="G3" s="2"/>
    </x:row>
    <x:row r="4" ht="23" customHeight="1">
      <x:c r="B4" s="2" t="str">
        <x:v>Include legal apartments even when vacant. Use 0 only for unused rows.</x:v>
      </x:c>
      <x:c r="C4" s="2"/>
      <x:c r="D4" s="2"/>
      <x:c r="E4" s="2"/>
      <x:c r="F4" s="2"/>
      <x:c r="G4" s="2"/>
    </x:row>
    <x:row r="5" ht="23" customHeight="1">
      <x:c r="B5" s="2"/>
      <x:c r="C5" s="2"/>
      <x:c r="D5" s="2"/>
      <x:c r="E5" s="2"/>
      <x:c r="F5" s="2"/>
      <x:c r="G5" s="2"/>
    </x:row>
    <x:row r="6" ht="23" customHeight="1">
      <x:c r="B6" s="2"/>
      <x:c r="C6" s="2"/>
      <x:c r="D6" s="2"/>
      <x:c r="E6" s="2"/>
      <x:c r="F6" s="2"/>
      <x:c r="G6" s="2"/>
    </x:row>
    <x:row r="7" ht="36" customHeight="1">
      <x:c r="B7" s="33" t="str">
        <x:v>Unit ID</x:v>
      </x:c>
      <x:c r="C7" s="33" t="str">
        <x:v>Include 1/0</x:v>
      </x:c>
      <x:c r="D7" s="33" t="str">
        <x:v>Group A/B/C</x:v>
      </x:c>
      <x:c r="E7" s="33" t="str">
        <x:v>Source / date</x:v>
      </x:c>
      <x:c r="F7" s="33" t="str">
        <x:v>Monthly scheduled rent</x:v>
      </x:c>
      <x:c r="G7" s="33" t="str">
        <x:v>Prepared monthly rent</x:v>
      </x:c>
    </x:row>
    <x:row r="8" ht="23" customHeight="1">
      <x:c r="B8" s="2" t="n">
        <x:v>1</x:v>
      </x:c>
      <x:c r="C8" s="35" t="n">
        <x:v>1</x:v>
      </x:c>
      <x:c r="D8" s="35" t="str">
        <x:v>A</x:v>
      </x:c>
      <x:c r="E8" s="2" t="str">
        <x:v>Hypothetical example</x:v>
      </x:c>
      <x:c r="F8" s="36" t="n">
        <x:v>1200</x:v>
      </x:c>
      <x:c r="G8" s="3" t="n">
        <x:f>IF(C8=0,0,IF(AND(C8=1,ISNUMBER(F8),F8&gt;=0,OR(D8="A",D8="B",D8="C")),F8,NA()))</x:f>
        <x:v>1200</x:v>
      </x:c>
    </x:row>
    <x:row r="9" ht="23" customHeight="1">
      <x:c r="B9" s="2" t="n">
        <x:v>2</x:v>
      </x:c>
      <x:c r="C9" s="35" t="n">
        <x:v>1</x:v>
      </x:c>
      <x:c r="D9" s="35" t="str">
        <x:v>A</x:v>
      </x:c>
      <x:c r="E9" s="2" t="str">
        <x:v>Hypothetical example</x:v>
      </x:c>
      <x:c r="F9" s="36" t="n">
        <x:v>1200</x:v>
      </x:c>
      <x:c r="G9" s="3" t="n">
        <x:f>IF(C9=0,0,IF(AND(C9=1,ISNUMBER(F9),F9&gt;=0,OR(D9="A",D9="B",D9="C")),F9,NA()))</x:f>
        <x:v>1200</x:v>
      </x:c>
    </x:row>
    <x:row r="10" ht="23" customHeight="1">
      <x:c r="B10" s="2" t="n">
        <x:v>3</x:v>
      </x:c>
      <x:c r="C10" s="35" t="n">
        <x:v>1</x:v>
      </x:c>
      <x:c r="D10" s="35" t="str">
        <x:v>A</x:v>
      </x:c>
      <x:c r="E10" s="2" t="str">
        <x:v>Hypothetical example</x:v>
      </x:c>
      <x:c r="F10" s="36" t="n">
        <x:v>1200</x:v>
      </x:c>
      <x:c r="G10" s="3" t="n">
        <x:f>IF(C10=0,0,IF(AND(C10=1,ISNUMBER(F10),F10&gt;=0,OR(D10="A",D10="B",D10="C")),F10,NA()))</x:f>
        <x:v>1200</x:v>
      </x:c>
    </x:row>
    <x:row r="11" ht="23" customHeight="1">
      <x:c r="B11" s="2" t="n">
        <x:v>4</x:v>
      </x:c>
      <x:c r="C11" s="35" t="n">
        <x:v>1</x:v>
      </x:c>
      <x:c r="D11" s="35" t="str">
        <x:v>A</x:v>
      </x:c>
      <x:c r="E11" s="2" t="str">
        <x:v>Hypothetical example</x:v>
      </x:c>
      <x:c r="F11" s="36" t="n">
        <x:v>1200</x:v>
      </x:c>
      <x:c r="G11" s="3" t="n">
        <x:f>IF(C11=0,0,IF(AND(C11=1,ISNUMBER(F11),F11&gt;=0,OR(D11="A",D11="B",D11="C")),F11,NA()))</x:f>
        <x:v>1200</x:v>
      </x:c>
    </x:row>
    <x:row r="12" ht="23" customHeight="1">
      <x:c r="B12" s="2" t="n">
        <x:v>5</x:v>
      </x:c>
      <x:c r="C12" s="35" t="n">
        <x:v>1</x:v>
      </x:c>
      <x:c r="D12" s="35" t="str">
        <x:v>A</x:v>
      </x:c>
      <x:c r="E12" s="2" t="str">
        <x:v>Hypothetical example</x:v>
      </x:c>
      <x:c r="F12" s="36" t="n">
        <x:v>1200</x:v>
      </x:c>
      <x:c r="G12" s="3" t="n">
        <x:f>IF(C12=0,0,IF(AND(C12=1,ISNUMBER(F12),F12&gt;=0,OR(D12="A",D12="B",D12="C")),F12,NA()))</x:f>
        <x:v>1200</x:v>
      </x:c>
    </x:row>
    <x:row r="13" ht="23" customHeight="1">
      <x:c r="B13" s="2" t="n">
        <x:v>6</x:v>
      </x:c>
      <x:c r="C13" s="35" t="n">
        <x:v>1</x:v>
      </x:c>
      <x:c r="D13" s="35" t="str">
        <x:v>A</x:v>
      </x:c>
      <x:c r="E13" s="2" t="str">
        <x:v>Hypothetical example</x:v>
      </x:c>
      <x:c r="F13" s="36" t="n">
        <x:v>1200</x:v>
      </x:c>
      <x:c r="G13" s="3" t="n">
        <x:f>IF(C13=0,0,IF(AND(C13=1,ISNUMBER(F13),F13&gt;=0,OR(D13="A",D13="B",D13="C")),F13,NA()))</x:f>
        <x:v>1200</x:v>
      </x:c>
    </x:row>
    <x:row r="14" ht="23" customHeight="1">
      <x:c r="B14" s="2" t="n">
        <x:v>7</x:v>
      </x:c>
      <x:c r="C14" s="35" t="n">
        <x:v>1</x:v>
      </x:c>
      <x:c r="D14" s="35" t="str">
        <x:v>A</x:v>
      </x:c>
      <x:c r="E14" s="2" t="str">
        <x:v>Hypothetical example</x:v>
      </x:c>
      <x:c r="F14" s="36" t="n">
        <x:v>1200</x:v>
      </x:c>
      <x:c r="G14" s="3" t="n">
        <x:f>IF(C14=0,0,IF(AND(C14=1,ISNUMBER(F14),F14&gt;=0,OR(D14="A",D14="B",D14="C")),F14,NA()))</x:f>
        <x:v>1200</x:v>
      </x:c>
    </x:row>
    <x:row r="15" ht="23" customHeight="1">
      <x:c r="B15" s="2" t="n">
        <x:v>8</x:v>
      </x:c>
      <x:c r="C15" s="35" t="n">
        <x:v>1</x:v>
      </x:c>
      <x:c r="D15" s="35" t="str">
        <x:v>A</x:v>
      </x:c>
      <x:c r="E15" s="2" t="str">
        <x:v>Hypothetical example</x:v>
      </x:c>
      <x:c r="F15" s="36" t="n">
        <x:v>1200</x:v>
      </x:c>
      <x:c r="G15" s="3" t="n">
        <x:f>IF(C15=0,0,IF(AND(C15=1,ISNUMBER(F15),F15&gt;=0,OR(D15="A",D15="B",D15="C")),F15,NA()))</x:f>
        <x:v>1200</x:v>
      </x:c>
    </x:row>
    <x:row r="16" ht="23" customHeight="1">
      <x:c r="B16" s="2" t="n">
        <x:v>9</x:v>
      </x:c>
      <x:c r="C16" s="35" t="n">
        <x:v>1</x:v>
      </x:c>
      <x:c r="D16" s="35" t="str">
        <x:v>B</x:v>
      </x:c>
      <x:c r="E16" s="2" t="str">
        <x:v>Hypothetical example</x:v>
      </x:c>
      <x:c r="F16" s="36" t="n">
        <x:v>1500</x:v>
      </x:c>
      <x:c r="G16" s="3" t="n">
        <x:f>IF(C16=0,0,IF(AND(C16=1,ISNUMBER(F16),F16&gt;=0,OR(D16="A",D16="B",D16="C")),F16,NA()))</x:f>
        <x:v>1500</x:v>
      </x:c>
    </x:row>
    <x:row r="17" ht="23" customHeight="1">
      <x:c r="B17" s="2" t="n">
        <x:v>10</x:v>
      </x:c>
      <x:c r="C17" s="35" t="n">
        <x:v>1</x:v>
      </x:c>
      <x:c r="D17" s="35" t="str">
        <x:v>B</x:v>
      </x:c>
      <x:c r="E17" s="2" t="str">
        <x:v>Hypothetical example</x:v>
      </x:c>
      <x:c r="F17" s="36" t="n">
        <x:v>1500</x:v>
      </x:c>
      <x:c r="G17" s="3" t="n">
        <x:f>IF(C17=0,0,IF(AND(C17=1,ISNUMBER(F17),F17&gt;=0,OR(D17="A",D17="B",D17="C")),F17,NA()))</x:f>
        <x:v>1500</x:v>
      </x:c>
    </x:row>
    <x:row r="18" ht="23" customHeight="1">
      <x:c r="B18" s="2" t="n">
        <x:v>11</x:v>
      </x:c>
      <x:c r="C18" s="35" t="n">
        <x:v>1</x:v>
      </x:c>
      <x:c r="D18" s="35" t="str">
        <x:v>B</x:v>
      </x:c>
      <x:c r="E18" s="2" t="str">
        <x:v>Hypothetical example</x:v>
      </x:c>
      <x:c r="F18" s="36" t="n">
        <x:v>1500</x:v>
      </x:c>
      <x:c r="G18" s="3" t="n">
        <x:f>IF(C18=0,0,IF(AND(C18=1,ISNUMBER(F18),F18&gt;=0,OR(D18="A",D18="B",D18="C")),F18,NA()))</x:f>
        <x:v>1500</x:v>
      </x:c>
    </x:row>
    <x:row r="19" ht="23" customHeight="1">
      <x:c r="B19" s="2" t="n">
        <x:v>12</x:v>
      </x:c>
      <x:c r="C19" s="35" t="n">
        <x:v>1</x:v>
      </x:c>
      <x:c r="D19" s="35" t="str">
        <x:v>B</x:v>
      </x:c>
      <x:c r="E19" s="2" t="str">
        <x:v>Hypothetical example</x:v>
      </x:c>
      <x:c r="F19" s="36" t="n">
        <x:v>1500</x:v>
      </x:c>
      <x:c r="G19" s="3" t="n">
        <x:f>IF(C19=0,0,IF(AND(C19=1,ISNUMBER(F19),F19&gt;=0,OR(D19="A",D19="B",D19="C")),F19,NA()))</x:f>
        <x:v>1500</x:v>
      </x:c>
    </x:row>
    <x:row r="20" ht="23" customHeight="1">
      <x:c r="B20" s="2" t="n">
        <x:v>13</x:v>
      </x:c>
      <x:c r="C20" s="35" t="n">
        <x:v>1</x:v>
      </x:c>
      <x:c r="D20" s="35" t="str">
        <x:v>B</x:v>
      </x:c>
      <x:c r="E20" s="2" t="str">
        <x:v>Hypothetical example</x:v>
      </x:c>
      <x:c r="F20" s="36" t="n">
        <x:v>1500</x:v>
      </x:c>
      <x:c r="G20" s="3" t="n">
        <x:f>IF(C20=0,0,IF(AND(C20=1,ISNUMBER(F20),F20&gt;=0,OR(D20="A",D20="B",D20="C")),F20,NA()))</x:f>
        <x:v>1500</x:v>
      </x:c>
    </x:row>
    <x:row r="21" ht="23" customHeight="1">
      <x:c r="B21" s="2" t="n">
        <x:v>14</x:v>
      </x:c>
      <x:c r="C21" s="35" t="n">
        <x:v>1</x:v>
      </x:c>
      <x:c r="D21" s="35" t="str">
        <x:v>B</x:v>
      </x:c>
      <x:c r="E21" s="2" t="str">
        <x:v>Hypothetical example</x:v>
      </x:c>
      <x:c r="F21" s="36" t="n">
        <x:v>1500</x:v>
      </x:c>
      <x:c r="G21" s="3" t="n">
        <x:f>IF(C21=0,0,IF(AND(C21=1,ISNUMBER(F21),F21&gt;=0,OR(D21="A",D21="B",D21="C")),F21,NA()))</x:f>
        <x:v>1500</x:v>
      </x:c>
    </x:row>
    <x:row r="22" ht="23" customHeight="1">
      <x:c r="B22" s="2" t="n">
        <x:v>15</x:v>
      </x:c>
      <x:c r="C22" s="35" t="n">
        <x:v>1</x:v>
      </x:c>
      <x:c r="D22" s="35" t="str">
        <x:v>B</x:v>
      </x:c>
      <x:c r="E22" s="2" t="str">
        <x:v>Hypothetical example</x:v>
      </x:c>
      <x:c r="F22" s="36" t="n">
        <x:v>1500</x:v>
      </x:c>
      <x:c r="G22" s="3" t="n">
        <x:f>IF(C22=0,0,IF(AND(C22=1,ISNUMBER(F22),F22&gt;=0,OR(D22="A",D22="B",D22="C")),F22,NA()))</x:f>
        <x:v>1500</x:v>
      </x:c>
    </x:row>
    <x:row r="23" ht="23" customHeight="1">
      <x:c r="B23" s="2" t="n">
        <x:v>16</x:v>
      </x:c>
      <x:c r="C23" s="35" t="n">
        <x:v>1</x:v>
      </x:c>
      <x:c r="D23" s="35" t="str">
        <x:v>B</x:v>
      </x:c>
      <x:c r="E23" s="2" t="str">
        <x:v>Hypothetical example</x:v>
      </x:c>
      <x:c r="F23" s="36" t="n">
        <x:v>1500</x:v>
      </x:c>
      <x:c r="G23" s="3" t="n">
        <x:f>IF(C23=0,0,IF(AND(C23=1,ISNUMBER(F23),F23&gt;=0,OR(D23="A",D23="B",D23="C")),F23,NA()))</x:f>
        <x:v>1500</x:v>
      </x:c>
    </x:row>
    <x:row r="24" ht="23" customHeight="1">
      <x:c r="B24" s="2" t="n">
        <x:v>17</x:v>
      </x:c>
      <x:c r="C24" s="35" t="n">
        <x:v>1</x:v>
      </x:c>
      <x:c r="D24" s="35" t="str">
        <x:v>C</x:v>
      </x:c>
      <x:c r="E24" s="2" t="str">
        <x:v>Hypothetical example</x:v>
      </x:c>
      <x:c r="F24" s="36" t="n">
        <x:v>1800</x:v>
      </x:c>
      <x:c r="G24" s="3" t="n">
        <x:f>IF(C24=0,0,IF(AND(C24=1,ISNUMBER(F24),F24&gt;=0,OR(D24="A",D24="B",D24="C")),F24,NA()))</x:f>
        <x:v>1800</x:v>
      </x:c>
    </x:row>
    <x:row r="25" ht="23" customHeight="1">
      <x:c r="B25" s="2" t="n">
        <x:v>18</x:v>
      </x:c>
      <x:c r="C25" s="35" t="n">
        <x:v>1</x:v>
      </x:c>
      <x:c r="D25" s="35" t="str">
        <x:v>C</x:v>
      </x:c>
      <x:c r="E25" s="2" t="str">
        <x:v>Hypothetical example</x:v>
      </x:c>
      <x:c r="F25" s="36" t="n">
        <x:v>1800</x:v>
      </x:c>
      <x:c r="G25" s="3" t="n">
        <x:f>IF(C25=0,0,IF(AND(C25=1,ISNUMBER(F25),F25&gt;=0,OR(D25="A",D25="B",D25="C")),F25,NA()))</x:f>
        <x:v>1800</x:v>
      </x:c>
    </x:row>
    <x:row r="26" ht="23" customHeight="1">
      <x:c r="B26" s="2" t="n">
        <x:v>19</x:v>
      </x:c>
      <x:c r="C26" s="35" t="n">
        <x:v>1</x:v>
      </x:c>
      <x:c r="D26" s="35" t="str">
        <x:v>C</x:v>
      </x:c>
      <x:c r="E26" s="2" t="str">
        <x:v>Hypothetical example</x:v>
      </x:c>
      <x:c r="F26" s="36" t="n">
        <x:v>1800</x:v>
      </x:c>
      <x:c r="G26" s="3" t="n">
        <x:f>IF(C26=0,0,IF(AND(C26=1,ISNUMBER(F26),F26&gt;=0,OR(D26="A",D26="B",D26="C")),F26,NA()))</x:f>
        <x:v>1800</x:v>
      </x:c>
    </x:row>
    <x:row r="27" ht="23" customHeight="1">
      <x:c r="B27" s="2" t="n">
        <x:v>20</x:v>
      </x:c>
      <x:c r="C27" s="35" t="n">
        <x:v>1</x:v>
      </x:c>
      <x:c r="D27" s="35" t="str">
        <x:v>C</x:v>
      </x:c>
      <x:c r="E27" s="2" t="str">
        <x:v>Hypothetical example</x:v>
      </x:c>
      <x:c r="F27" s="36" t="n">
        <x:v>1800</x:v>
      </x:c>
      <x:c r="G27" s="3" t="n">
        <x:f>IF(C27=0,0,IF(AND(C27=1,ISNUMBER(F27),F27&gt;=0,OR(D27="A",D27="B",D27="C")),F27,NA()))</x:f>
        <x:v>1800</x:v>
      </x:c>
    </x:row>
    <x:row r="28" ht="23" customHeight="1">
      <x:c r="B28" s="2" t="n">
        <x:v>21</x:v>
      </x:c>
      <x:c r="C28" s="35" t="n">
        <x:v>0</x:v>
      </x:c>
      <x:c r="D28" s="35" t="str">
        <x:v>A</x:v>
      </x:c>
      <x:c r="E28" s="2" t="str">
        <x:v>Unused row</x:v>
      </x:c>
      <x:c r="F28" s="36" t="n">
        <x:v>0</x:v>
      </x:c>
      <x:c r="G28" s="3" t="n">
        <x:f>IF(C28=0,0,IF(AND(C28=1,ISNUMBER(F28),F28&gt;=0,OR(D28="A",D28="B",D28="C")),F28,NA()))</x:f>
        <x:v>0</x:v>
      </x:c>
    </x:row>
    <x:row r="29" ht="23" customHeight="1">
      <x:c r="B29" s="2" t="n">
        <x:v>22</x:v>
      </x:c>
      <x:c r="C29" s="35" t="n">
        <x:v>0</x:v>
      </x:c>
      <x:c r="D29" s="35" t="str">
        <x:v>A</x:v>
      </x:c>
      <x:c r="E29" s="2" t="str">
        <x:v>Unused row</x:v>
      </x:c>
      <x:c r="F29" s="36" t="n">
        <x:v>0</x:v>
      </x:c>
      <x:c r="G29" s="3" t="n">
        <x:f>IF(C29=0,0,IF(AND(C29=1,ISNUMBER(F29),F29&gt;=0,OR(D29="A",D29="B",D29="C")),F29,NA()))</x:f>
        <x:v>0</x:v>
      </x:c>
    </x:row>
    <x:row r="30" ht="23" customHeight="1">
      <x:c r="B30" s="2" t="n">
        <x:v>23</x:v>
      </x:c>
      <x:c r="C30" s="35" t="n">
        <x:v>0</x:v>
      </x:c>
      <x:c r="D30" s="35" t="str">
        <x:v>A</x:v>
      </x:c>
      <x:c r="E30" s="2" t="str">
        <x:v>Unused row</x:v>
      </x:c>
      <x:c r="F30" s="36" t="n">
        <x:v>0</x:v>
      </x:c>
      <x:c r="G30" s="3" t="n">
        <x:f>IF(C30=0,0,IF(AND(C30=1,ISNUMBER(F30),F30&gt;=0,OR(D30="A",D30="B",D30="C")),F30,NA()))</x:f>
        <x:v>0</x:v>
      </x:c>
    </x:row>
    <x:row r="31" ht="23" customHeight="1">
      <x:c r="B31" s="2" t="n">
        <x:v>24</x:v>
      </x:c>
      <x:c r="C31" s="35" t="n">
        <x:v>0</x:v>
      </x:c>
      <x:c r="D31" s="35" t="str">
        <x:v>A</x:v>
      </x:c>
      <x:c r="E31" s="2" t="str">
        <x:v>Unused row</x:v>
      </x:c>
      <x:c r="F31" s="36" t="n">
        <x:v>0</x:v>
      </x:c>
      <x:c r="G31" s="3" t="n">
        <x:f>IF(C31=0,0,IF(AND(C31=1,ISNUMBER(F31),F31&gt;=0,OR(D31="A",D31="B",D31="C")),F31,NA()))</x:f>
        <x:v>0</x:v>
      </x:c>
    </x:row>
    <x:row r="32" ht="23" customHeight="1">
      <x:c r="B32" s="2" t="n">
        <x:v>25</x:v>
      </x:c>
      <x:c r="C32" s="35" t="n">
        <x:v>0</x:v>
      </x:c>
      <x:c r="D32" s="35" t="str">
        <x:v>A</x:v>
      </x:c>
      <x:c r="E32" s="2" t="str">
        <x:v>Unused row</x:v>
      </x:c>
      <x:c r="F32" s="36" t="n">
        <x:v>0</x:v>
      </x:c>
      <x:c r="G32" s="3" t="n">
        <x:f>IF(C32=0,0,IF(AND(C32=1,ISNUMBER(F32),F32&gt;=0,OR(D32="A",D32="B",D32="C")),F32,NA()))</x:f>
        <x:v>0</x:v>
      </x:c>
    </x:row>
    <x:row r="33" ht="23" customHeight="1">
      <x:c r="B33" s="2" t="n">
        <x:v>26</x:v>
      </x:c>
      <x:c r="C33" s="35" t="n">
        <x:v>0</x:v>
      </x:c>
      <x:c r="D33" s="35" t="str">
        <x:v>A</x:v>
      </x:c>
      <x:c r="E33" s="2" t="str">
        <x:v>Unused row</x:v>
      </x:c>
      <x:c r="F33" s="36" t="n">
        <x:v>0</x:v>
      </x:c>
      <x:c r="G33" s="3" t="n">
        <x:f>IF(C33=0,0,IF(AND(C33=1,ISNUMBER(F33),F33&gt;=0,OR(D33="A",D33="B",D33="C")),F33,NA()))</x:f>
        <x:v>0</x:v>
      </x:c>
    </x:row>
    <x:row r="34" ht="23" customHeight="1">
      <x:c r="B34" s="2" t="n">
        <x:v>27</x:v>
      </x:c>
      <x:c r="C34" s="35" t="n">
        <x:v>0</x:v>
      </x:c>
      <x:c r="D34" s="35" t="str">
        <x:v>A</x:v>
      </x:c>
      <x:c r="E34" s="2" t="str">
        <x:v>Unused row</x:v>
      </x:c>
      <x:c r="F34" s="36" t="n">
        <x:v>0</x:v>
      </x:c>
      <x:c r="G34" s="3" t="n">
        <x:f>IF(C34=0,0,IF(AND(C34=1,ISNUMBER(F34),F34&gt;=0,OR(D34="A",D34="B",D34="C")),F34,NA()))</x:f>
        <x:v>0</x:v>
      </x:c>
    </x:row>
    <x:row r="35" ht="23" customHeight="1">
      <x:c r="B35" s="2" t="n">
        <x:v>28</x:v>
      </x:c>
      <x:c r="C35" s="35" t="n">
        <x:v>0</x:v>
      </x:c>
      <x:c r="D35" s="35" t="str">
        <x:v>A</x:v>
      </x:c>
      <x:c r="E35" s="2" t="str">
        <x:v>Unused row</x:v>
      </x:c>
      <x:c r="F35" s="36" t="n">
        <x:v>0</x:v>
      </x:c>
      <x:c r="G35" s="3" t="n">
        <x:f>IF(C35=0,0,IF(AND(C35=1,ISNUMBER(F35),F35&gt;=0,OR(D35="A",D35="B",D35="C")),F35,NA()))</x:f>
        <x:v>0</x:v>
      </x:c>
    </x:row>
    <x:row r="36" ht="23" customHeight="1">
      <x:c r="B36" s="2" t="n">
        <x:v>29</x:v>
      </x:c>
      <x:c r="C36" s="35" t="n">
        <x:v>0</x:v>
      </x:c>
      <x:c r="D36" s="35" t="str">
        <x:v>A</x:v>
      </x:c>
      <x:c r="E36" s="2" t="str">
        <x:v>Unused row</x:v>
      </x:c>
      <x:c r="F36" s="36" t="n">
        <x:v>0</x:v>
      </x:c>
      <x:c r="G36" s="3" t="n">
        <x:f>IF(C36=0,0,IF(AND(C36=1,ISNUMBER(F36),F36&gt;=0,OR(D36="A",D36="B",D36="C")),F36,NA()))</x:f>
        <x:v>0</x:v>
      </x:c>
    </x:row>
    <x:row r="37" ht="23" customHeight="1">
      <x:c r="B37" s="2" t="n">
        <x:v>30</x:v>
      </x:c>
      <x:c r="C37" s="35" t="n">
        <x:v>0</x:v>
      </x:c>
      <x:c r="D37" s="35" t="str">
        <x:v>A</x:v>
      </x:c>
      <x:c r="E37" s="2" t="str">
        <x:v>Unused row</x:v>
      </x:c>
      <x:c r="F37" s="36" t="n">
        <x:v>0</x:v>
      </x:c>
      <x:c r="G37" s="3" t="n">
        <x:f>IF(C37=0,0,IF(AND(C37=1,ISNUMBER(F37),F37&gt;=0,OR(D37="A",D37="B",D37="C")),F37,NA()))</x:f>
        <x:v>0</x:v>
      </x:c>
    </x:row>
    <x:row r="38" ht="23" customHeight="1">
      <x:c r="B38" s="37" t="str">
        <x:v>Total</x:v>
      </x:c>
      <x:c r="C38" s="37" t="n">
        <x:f>COUNTIFS(C8:C37,1)</x:f>
        <x:v>20</x:v>
      </x:c>
      <x:c r="D38" s="37"/>
      <x:c r="E38" s="37"/>
      <x:c r="F38" s="38"/>
      <x:c r="G38" s="38" t="n">
        <x:f>SUM(G8:G37)</x:f>
        <x:v>28800</x:v>
      </x:c>
    </x:row>
    <x:row r="39" ht="23" customHeight="1">
      <x:c r="B39" s="2"/>
      <x:c r="C39" s="2"/>
      <x:c r="D39" s="2"/>
      <x:c r="E39" s="2"/>
      <x:c r="F39" s="2"/>
      <x:c r="G39" s="2"/>
    </x:row>
    <x:row r="40" ht="36" customHeight="1">
      <x:c r="B40" s="33" t="str">
        <x:v>Rent group</x:v>
      </x:c>
      <x:c r="C40" s="33" t="str">
        <x:v>Apartments</x:v>
      </x:c>
      <x:c r="D40" s="33" t="str">
        <x:v>Monthly scheduled rent</x:v>
      </x:c>
      <x:c r="E40" s="2"/>
      <x:c r="F40" s="2"/>
      <x:c r="G40" s="2"/>
    </x:row>
    <x:row r="41" ht="23" customHeight="1">
      <x:c r="B41" s="2" t="str">
        <x:v>A</x:v>
      </x:c>
      <x:c r="C41" s="2" t="n">
        <x:f>COUNTIFS(C8:C37,1,D8:D37,B41)</x:f>
        <x:v>8</x:v>
      </x:c>
      <x:c r="D41" s="3" t="n">
        <x:f>SUMIFS(G8:G37,C8:C37,1,D8:D37,B41)</x:f>
        <x:v>9600</x:v>
      </x:c>
      <x:c r="E41" s="2"/>
      <x:c r="F41" s="2"/>
      <x:c r="G41" s="2"/>
    </x:row>
    <x:row r="42" ht="23" customHeight="1">
      <x:c r="B42" s="2" t="str">
        <x:v>B</x:v>
      </x:c>
      <x:c r="C42" s="2" t="n">
        <x:f>COUNTIFS(C8:C37,1,D8:D37,B42)</x:f>
        <x:v>8</x:v>
      </x:c>
      <x:c r="D42" s="3" t="n">
        <x:f>SUMIFS(G8:G37,C8:C37,1,D8:D37,B42)</x:f>
        <x:v>12000</x:v>
      </x:c>
      <x:c r="E42" s="2"/>
      <x:c r="F42" s="2"/>
      <x:c r="G42" s="2"/>
    </x:row>
    <x:row r="43" ht="23" customHeight="1">
      <x:c r="B43" s="2" t="str">
        <x:v>C</x:v>
      </x:c>
      <x:c r="C43" s="2" t="n">
        <x:f>COUNTIFS(C8:C37,1,D8:D37,B43)</x:f>
        <x:v>4</x:v>
      </x:c>
      <x:c r="D43" s="3" t="n">
        <x:f>SUMIFS(G8:G37,C8:C37,1,D8:D37,B43)</x:f>
        <x:v>7200</x:v>
      </x:c>
      <x:c r="E43" s="2"/>
      <x:c r="F43" s="2"/>
      <x:c r="G43" s="2"/>
    </x:row>
    <x:row r="44" ht="23" customHeight="1">
      <x:c r="B44" s="2"/>
      <x:c r="C44" s="2"/>
      <x:c r="D44" s="2"/>
      <x:c r="E44" s="2"/>
      <x:c r="F44" s="2"/>
      <x:c r="G44" s="2"/>
    </x:row>
  </x:sheetData>
  <x:dataValidations count="3">
    <x:dataValidation type="whole" operator="between" sqref="C8:C37">
      <x:formula1>0</x:formula1>
      <x:formula2>1</x:formula2>
    </x:dataValidation>
    <x:dataValidation type="decimal" operator="between" sqref="F8:F37">
      <x:formula1>0</x:formula1>
      <x:formula2>10000000</x:formula2>
    </x:dataValidation>
    <x:dataValidation type="list" sqref="D8:D37">
      <x:formula1>"A,B,C"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0" hidden="0" customWidth="1"/>
    <x:col min="3" max="3" width="13" hidden="0" customWidth="1"/>
    <x:col min="4" max="4" width="18" hidden="0" customWidth="1"/>
    <x:col min="5" max="5" width="38" hidden="0" customWidth="1"/>
    <x:col min="6" max="6" width="20" hidden="0" customWidth="1"/>
  </x:cols>
  <x:sheetData>
    <x:row r="2" ht="25" customHeight="1">
      <x:c r="B2" s="5" t="str">
        <x:v>Initial capital-project budget</x:v>
      </x:c>
      <x:c r="C2" s="2"/>
      <x:c r="D2" s="2"/>
      <x:c r="E2" s="2"/>
      <x:c r="F2" s="2"/>
    </x:row>
    <x:row r="3" ht="25" customHeight="1">
      <x:c r="B3" s="2"/>
      <x:c r="C3" s="2"/>
      <x:c r="D3" s="2"/>
      <x:c r="E3" s="2"/>
      <x:c r="F3" s="2"/>
    </x:row>
    <x:row r="4" ht="25" customHeight="1">
      <x:c r="B4" s="2" t="str">
        <x:v>Hypothetical scope. Replace quantities, bids and project dates.</x:v>
      </x:c>
      <x:c r="C4" s="2"/>
      <x:c r="D4" s="2"/>
      <x:c r="E4" s="2"/>
      <x:c r="F4" s="2"/>
    </x:row>
    <x:row r="5" ht="25" customHeight="1">
      <x:c r="B5" s="2"/>
      <x:c r="C5" s="2"/>
      <x:c r="D5" s="2"/>
      <x:c r="E5" s="2"/>
      <x:c r="F5" s="2"/>
    </x:row>
    <x:row r="6" ht="25" customHeight="1">
      <x:c r="B6" s="2"/>
      <x:c r="C6" s="2"/>
      <x:c r="D6" s="2"/>
      <x:c r="E6" s="2"/>
      <x:c r="F6" s="2"/>
    </x:row>
    <x:row r="7" ht="34" customHeight="1">
      <x:c r="B7" s="33" t="str">
        <x:v>Project</x:v>
      </x:c>
      <x:c r="C7" s="33" t="str">
        <x:v>Quantity</x:v>
      </x:c>
      <x:c r="D7" s="33" t="str">
        <x:v>Cost per item</x:v>
      </x:c>
      <x:c r="E7" s="33" t="str">
        <x:v>Bid / timing / source</x:v>
      </x:c>
      <x:c r="F7" s="33" t="str">
        <x:v>Initial cash budget</x:v>
      </x:c>
    </x:row>
    <x:row r="8" ht="25" customHeight="1">
      <x:c r="B8" s="2" t="str">
        <x:v>Apartment renovations</x:v>
      </x:c>
      <x:c r="C8" s="35" t="n">
        <x:v>10</x:v>
      </x:c>
      <x:c r="D8" s="36" t="n">
        <x:v>8000</x:v>
      </x:c>
      <x:c r="E8" s="2" t="str">
        <x:v>Hypothetical example</x:v>
      </x:c>
      <x:c r="F8" s="3" t="n">
        <x:f>IF(COUNT(C8:D8)=2,C8*D8,NA())</x:f>
        <x:v>80000</x:v>
      </x:c>
    </x:row>
    <x:row r="9" ht="25" customHeight="1">
      <x:c r="B9" s="2" t="str">
        <x:v>Roof</x:v>
      </x:c>
      <x:c r="C9" s="35" t="n">
        <x:v>1</x:v>
      </x:c>
      <x:c r="D9" s="36" t="n">
        <x:v>45000</x:v>
      </x:c>
      <x:c r="E9" s="2" t="str">
        <x:v>Hypothetical example</x:v>
      </x:c>
      <x:c r="F9" s="3" t="n">
        <x:f>IF(COUNT(C9:D9)=2,C9*D9,NA())</x:f>
        <x:v>45000</x:v>
      </x:c>
    </x:row>
    <x:row r="10" ht="25" customHeight="1">
      <x:c r="B10" s="2" t="str">
        <x:v>Mechanical systems</x:v>
      </x:c>
      <x:c r="C10" s="35" t="n">
        <x:v>1</x:v>
      </x:c>
      <x:c r="D10" s="36" t="n">
        <x:v>25000</x:v>
      </x:c>
      <x:c r="E10" s="2" t="str">
        <x:v>Hypothetical example</x:v>
      </x:c>
      <x:c r="F10" s="3" t="n">
        <x:f>IF(COUNT(C10:D10)=2,C10*D10,NA())</x:f>
        <x:v>25000</x:v>
      </x:c>
    </x:row>
    <x:row r="11" ht="25" customHeight="1">
      <x:c r="B11" s="2" t="str">
        <x:v>Site / life-safety scope</x:v>
      </x:c>
      <x:c r="C11" s="35" t="n">
        <x:v>1</x:v>
      </x:c>
      <x:c r="D11" s="36" t="n">
        <x:v>10000</x:v>
      </x:c>
      <x:c r="E11" s="2" t="str">
        <x:v>Hypothetical example</x:v>
      </x:c>
      <x:c r="F11" s="3" t="n">
        <x:f>IF(COUNT(C11:D11)=2,C11*D11,NA())</x:f>
        <x:v>10000</x:v>
      </x:c>
    </x:row>
    <x:row r="12" ht="25" customHeight="1">
      <x:c r="B12" s="2" t="str">
        <x:v>Project professional costs</x:v>
      </x:c>
      <x:c r="C12" s="35" t="n">
        <x:v>1</x:v>
      </x:c>
      <x:c r="D12" s="36" t="n">
        <x:v>10000</x:v>
      </x:c>
      <x:c r="E12" s="2" t="str">
        <x:v>Hypothetical example</x:v>
      </x:c>
      <x:c r="F12" s="3" t="n">
        <x:f>IF(COUNT(C12:D12)=2,C12*D12,NA())</x:f>
        <x:v>10000</x:v>
      </x:c>
    </x:row>
    <x:row r="13" ht="25" customHeight="1">
      <x:c r="B13" s="2" t="str">
        <x:v>Other priced work</x:v>
      </x:c>
      <x:c r="C13" s="35" t="n">
        <x:v>1</x:v>
      </x:c>
      <x:c r="D13" s="36" t="n">
        <x:v>10000</x:v>
      </x:c>
      <x:c r="E13" s="2" t="str">
        <x:v>Hypothetical example</x:v>
      </x:c>
      <x:c r="F13" s="3" t="n">
        <x:f>IF(COUNT(C13:D13)=2,C13*D13,NA())</x:f>
        <x:v>10000</x:v>
      </x:c>
    </x:row>
    <x:row r="14" ht="25" customHeight="1">
      <x:c r="B14" s="2"/>
      <x:c r="C14" s="2"/>
      <x:c r="D14" s="2"/>
      <x:c r="E14" s="2"/>
      <x:c r="F14" s="3"/>
    </x:row>
    <x:row r="15" ht="25" customHeight="1">
      <x:c r="B15" s="37" t="str">
        <x:v>Capital subtotal before contingency</x:v>
      </x:c>
      <x:c r="C15" s="37"/>
      <x:c r="D15" s="37"/>
      <x:c r="E15" s="37"/>
      <x:c r="F15" s="38" t="n">
        <x:f>SUM(F8:F13)</x:f>
        <x:v>180000</x:v>
      </x:c>
    </x:row>
    <x:row r="16" ht="25" customHeight="1">
      <x:c r="B16" s="2"/>
      <x:c r="C16" s="2"/>
      <x:c r="D16" s="2"/>
      <x:c r="E16" s="2"/>
      <x:c r="F16" s="2"/>
    </x:row>
    <x:row r="17" ht="25" customHeight="1">
      <x:c r="B17" s="2"/>
      <x:c r="C17" s="2"/>
      <x:c r="D17" s="2"/>
      <x:c r="E17" s="2"/>
      <x:c r="F17" s="2"/>
    </x:row>
    <x:row r="18" ht="25" customHeight="1">
      <x:c r="B18" s="2" t="str">
        <x:v>Contingency is applied once on Acquisition. Closing excludes these project fees.</x:v>
      </x:c>
      <x:c r="C18" s="2"/>
      <x:c r="D18" s="2"/>
      <x:c r="E18" s="2"/>
      <x:c r="F18" s="2"/>
    </x:row>
    <x:row r="19" ht="25" customHeight="1">
      <x:c r="B19" s="2"/>
      <x:c r="C19" s="2"/>
      <x:c r="D19" s="2"/>
      <x:c r="E19" s="2"/>
      <x:c r="F19" s="2"/>
    </x:row>
    <x:row r="20" ht="25" customHeight="1">
      <x:c r="B20" s="2" t="str">
        <x:v>Record unit downtime in the income forecast; do not deduct the same loss twice.</x:v>
      </x:c>
      <x:c r="C20" s="2"/>
      <x:c r="D20" s="2"/>
      <x:c r="E20" s="2"/>
      <x:c r="F20" s="2"/>
    </x:row>
    <x:row r="21" ht="25" customHeight="1">
      <x:c r="B21" s="2"/>
      <x:c r="C21" s="2"/>
      <x:c r="D21" s="2"/>
      <x:c r="E21" s="2"/>
      <x:c r="F21" s="2"/>
    </x:row>
  </x:sheetData>
  <x:dataValidations count="1">
    <x:dataValidation type="decimal" operator="between" sqref="C8:D13">
      <x:formula1>0</x:formula1>
      <x:formula2>100000000</x:formula2>
    </x:dataValidation>
  </x:dataValidations>
  <x:pageMargins left="0.7" right="0.7" top="0.75" bottom="0.75" header="0.3" footer="0.3"/>
</x:worksheet>
</file>